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Danville\"/>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D17" i="201"/>
  <c r="G17" i="201" s="1"/>
  <c r="D16" i="201"/>
  <c r="D15" i="201"/>
  <c r="G15" i="201" s="1"/>
  <c r="D14" i="201"/>
  <c r="G14" i="201" s="1"/>
  <c r="G13" i="201"/>
  <c r="D13" i="201"/>
  <c r="D12" i="201"/>
  <c r="D11" i="201"/>
  <c r="G11" i="201" s="1"/>
  <c r="G10" i="201"/>
  <c r="D10" i="201"/>
  <c r="D9" i="201"/>
  <c r="G9" i="201" s="1"/>
  <c r="D8" i="201"/>
  <c r="E5" i="201"/>
  <c r="E4" i="201"/>
  <c r="D3" i="201"/>
  <c r="C3" i="201"/>
  <c r="B3" i="201"/>
  <c r="E3" i="201" l="1"/>
  <c r="E26" i="201" s="1"/>
  <c r="E34" i="201"/>
  <c r="E17" i="201"/>
  <c r="H17" i="201" s="1"/>
  <c r="G8" i="201"/>
  <c r="E8" i="201"/>
  <c r="E56" i="201"/>
  <c r="E54" i="201"/>
  <c r="H54" i="201" s="1"/>
  <c r="E52" i="201"/>
  <c r="H52" i="201" s="1"/>
  <c r="E50" i="201"/>
  <c r="H50" i="201" s="1"/>
  <c r="E48" i="201"/>
  <c r="E46" i="201"/>
  <c r="E44" i="201"/>
  <c r="H44" i="201" s="1"/>
  <c r="E42" i="201"/>
  <c r="H42" i="201" s="1"/>
  <c r="E13" i="201"/>
  <c r="G20" i="201"/>
  <c r="H20" i="201" s="1"/>
  <c r="E20" i="201"/>
  <c r="E22" i="201"/>
  <c r="E24" i="201"/>
  <c r="H24" i="201" s="1"/>
  <c r="E32" i="201"/>
  <c r="E40" i="201"/>
  <c r="E9" i="201"/>
  <c r="H9" i="201" s="1"/>
  <c r="G16" i="201"/>
  <c r="H16" i="201" s="1"/>
  <c r="E16" i="201"/>
  <c r="E18" i="201"/>
  <c r="H18" i="201" s="1"/>
  <c r="H22" i="201"/>
  <c r="E30" i="201"/>
  <c r="H30" i="201" s="1"/>
  <c r="E38" i="201"/>
  <c r="G12" i="201"/>
  <c r="E12" i="201"/>
  <c r="E14" i="201"/>
  <c r="H14" i="201" s="1"/>
  <c r="E21" i="201"/>
  <c r="H21" i="201" s="1"/>
  <c r="E28" i="201"/>
  <c r="H28" i="201" s="1"/>
  <c r="E36" i="201"/>
  <c r="H13" i="201"/>
  <c r="H29" i="201"/>
  <c r="H45" i="201"/>
  <c r="E11" i="201"/>
  <c r="H11" i="201" s="1"/>
  <c r="E15" i="201"/>
  <c r="H15" i="201" s="1"/>
  <c r="E19" i="201"/>
  <c r="H19" i="201" s="1"/>
  <c r="E23" i="201"/>
  <c r="H23" i="201" s="1"/>
  <c r="E25" i="201"/>
  <c r="H25" i="201" s="1"/>
  <c r="E27" i="201"/>
  <c r="H27" i="201" s="1"/>
  <c r="E29" i="201"/>
  <c r="E31" i="201"/>
  <c r="H31" i="201" s="1"/>
  <c r="E33" i="201"/>
  <c r="H33" i="201" s="1"/>
  <c r="E35" i="201"/>
  <c r="H35" i="201" s="1"/>
  <c r="E37" i="201"/>
  <c r="H37" i="201" s="1"/>
  <c r="E39" i="201"/>
  <c r="H39" i="201" s="1"/>
  <c r="E41" i="201"/>
  <c r="H41" i="201" s="1"/>
  <c r="E43" i="201"/>
  <c r="H43" i="201" s="1"/>
  <c r="E45" i="201"/>
  <c r="E47" i="201"/>
  <c r="H47" i="201" s="1"/>
  <c r="E49" i="201"/>
  <c r="H49" i="201" s="1"/>
  <c r="E51" i="201"/>
  <c r="H51" i="201" s="1"/>
  <c r="E53" i="201"/>
  <c r="H53" i="201" s="1"/>
  <c r="E55" i="201"/>
  <c r="H55" i="201" s="1"/>
  <c r="E57" i="201"/>
  <c r="H57" i="201" s="1"/>
  <c r="H26" i="201"/>
  <c r="H32" i="201"/>
  <c r="H34" i="201"/>
  <c r="H36" i="201"/>
  <c r="H38" i="201"/>
  <c r="H40" i="201"/>
  <c r="H46" i="201"/>
  <c r="H48" i="201"/>
  <c r="H56" i="201"/>
  <c r="E10" i="201" l="1"/>
  <c r="H10" i="201" s="1"/>
  <c r="H12" i="201"/>
  <c r="H8" i="201"/>
  <c r="H58" i="201" s="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88" i="197"/>
  <c r="T96" i="197"/>
  <c r="AE120" i="197"/>
  <c r="AA124" i="197"/>
  <c r="AB140" i="197"/>
  <c r="W144" i="197"/>
  <c r="AE152" i="197"/>
  <c r="AA156" i="197"/>
  <c r="AB168" i="197"/>
  <c r="AB172" i="197"/>
  <c r="T180" i="197"/>
  <c r="AE180" i="197"/>
  <c r="V188" i="197"/>
  <c r="AD188" i="197"/>
  <c r="AD196" i="197"/>
  <c r="Y200" i="197"/>
  <c r="Y208" i="197"/>
  <c r="V212" i="197"/>
  <c r="V220" i="197"/>
  <c r="AD220" i="197"/>
  <c r="AD228" i="197"/>
  <c r="Y232" i="197"/>
  <c r="AD236" i="197"/>
  <c r="X237" i="197"/>
  <c r="V244" i="197"/>
  <c r="AB244" i="197"/>
  <c r="AC248" i="197"/>
  <c r="R12" i="197"/>
  <c r="R60" i="197"/>
  <c r="R76"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AA145" i="197"/>
  <c r="X128" i="197"/>
  <c r="AB112"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G174" i="197"/>
  <c r="AG158" i="197"/>
  <c r="AG142" i="197"/>
  <c r="AG126" i="197"/>
  <c r="AG110" i="197"/>
  <c r="AG94" i="197"/>
  <c r="AG78" i="197"/>
  <c r="AG62" i="197"/>
  <c r="AG46" i="197"/>
  <c r="AG29" i="197"/>
  <c r="AG13" i="197"/>
  <c r="O6" i="193"/>
  <c r="P6" i="193"/>
  <c r="Q6" i="193"/>
  <c r="R6" i="193"/>
  <c r="R15" i="193"/>
  <c r="Q15" i="193"/>
  <c r="P15" i="193"/>
  <c r="O15" i="193"/>
  <c r="R13" i="193"/>
  <c r="Q13" i="193"/>
  <c r="P13" i="193"/>
  <c r="O13" i="193"/>
  <c r="P9" i="193"/>
  <c r="Q9" i="193"/>
  <c r="R9" i="193"/>
  <c r="O9" i="193"/>
  <c r="R7" i="193"/>
  <c r="Q7" i="193"/>
  <c r="P7" i="193"/>
  <c r="O7" i="193"/>
  <c r="AK8" i="197" l="1"/>
  <c r="AH107" i="197" s="1"/>
  <c r="AK4" i="197"/>
  <c r="AH246" i="197" s="1"/>
  <c r="AH108" i="197"/>
  <c r="AH60" i="197"/>
  <c r="AH155" i="197"/>
  <c r="AH168" i="197"/>
  <c r="AH7" i="197"/>
  <c r="AH190" i="197"/>
  <c r="AH148" i="197"/>
  <c r="AH179" i="197"/>
  <c r="AH177" i="197"/>
  <c r="AH230" i="197"/>
  <c r="AH171" i="197"/>
  <c r="AH91" i="197"/>
  <c r="AH59" i="197"/>
  <c r="AH226" i="197"/>
  <c r="AH82" i="197"/>
  <c r="AH137" i="197"/>
  <c r="AH9" i="197"/>
  <c r="AH56" i="197"/>
  <c r="AH199" i="197"/>
  <c r="AH87" i="197"/>
  <c r="AH23" i="197"/>
  <c r="AH213" i="197"/>
  <c r="AH181" i="197"/>
  <c r="AH101" i="197"/>
  <c r="AH85" i="197"/>
  <c r="AH37" i="197"/>
  <c r="AH52" i="197"/>
  <c r="AH36" i="197"/>
  <c r="AH4" i="197"/>
  <c r="AH147" i="197"/>
  <c r="AH115" i="197"/>
  <c r="AH35" i="197"/>
  <c r="AH58" i="197"/>
  <c r="AH42" i="197"/>
  <c r="AH129" i="197"/>
  <c r="AH112" i="197"/>
  <c r="AH96" i="197"/>
  <c r="AH64" i="197"/>
  <c r="AH191" i="197"/>
  <c r="AH175" i="197"/>
  <c r="AH79" i="197"/>
  <c r="AH86" i="197"/>
  <c r="AH205" i="197"/>
  <c r="AH141"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7" i="186"/>
  <c r="F35" i="186"/>
  <c r="F33" i="186"/>
  <c r="F29" i="186"/>
  <c r="F28" i="186"/>
  <c r="F27" i="186"/>
  <c r="E41" i="186"/>
  <c r="F38" i="186" s="1"/>
  <c r="AH220" i="197" l="1"/>
  <c r="F32" i="186"/>
  <c r="F39" i="186"/>
  <c r="AH45" i="197"/>
  <c r="AH31" i="197"/>
  <c r="AH16" i="197"/>
  <c r="AH234" i="197"/>
  <c r="AH138" i="197"/>
  <c r="AH211" i="197"/>
  <c r="AH116" i="197"/>
  <c r="AH133" i="197"/>
  <c r="AH55" i="197"/>
  <c r="AH104" i="197"/>
  <c r="AH114" i="197"/>
  <c r="AH198" i="197"/>
  <c r="AH117" i="197"/>
  <c r="AH18" i="197"/>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l="1"/>
  <c r="V7" i="199"/>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C83" i="188" s="1"/>
  <c r="P9" i="199"/>
  <c r="W8" i="199"/>
  <c r="N8" i="199"/>
  <c r="V5" i="199"/>
  <c r="D73" i="188" s="1"/>
  <c r="Q5" i="199"/>
  <c r="T4" i="199"/>
  <c r="U8" i="199"/>
  <c r="P10" i="199"/>
  <c r="W9" i="199"/>
  <c r="N9" i="199"/>
  <c r="V6" i="199"/>
  <c r="D42" i="188" s="1"/>
  <c r="Q6" i="199"/>
  <c r="E38" i="188" s="1"/>
  <c r="T5" i="199"/>
  <c r="O10" i="199"/>
  <c r="O4" i="199"/>
  <c r="B83" i="188"/>
  <c r="H5" i="194"/>
  <c r="E108" i="194" s="1"/>
  <c r="H11" i="194"/>
  <c r="E96" i="194" s="1"/>
  <c r="H8" i="194"/>
  <c r="E179" i="194" s="1"/>
  <c r="H9" i="194"/>
  <c r="E160" i="194" s="1"/>
  <c r="H7" i="194"/>
  <c r="E8" i="194" s="1"/>
  <c r="H4" i="194"/>
  <c r="E256" i="194" s="1"/>
  <c r="H3" i="194"/>
  <c r="E204" i="194" s="1"/>
  <c r="E47" i="194"/>
  <c r="E31" i="194"/>
  <c r="H12" i="194"/>
  <c r="E91" i="194" s="1"/>
  <c r="H2" i="194"/>
  <c r="E32" i="194" s="1"/>
  <c r="E237" i="194"/>
  <c r="E225" i="194"/>
  <c r="E213" i="194"/>
  <c r="E19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209" i="194" l="1"/>
  <c r="E82" i="194"/>
  <c r="E186" i="194"/>
  <c r="E22" i="194"/>
  <c r="E173" i="194"/>
  <c r="E74" i="194"/>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<sst xmlns="http://schemas.openxmlformats.org/spreadsheetml/2006/main" count="1627" uniqueCount="563">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</sst>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16"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0.30851685457837208</v>
      </c>
      <c r="I4" s="4">
        <f>res_share_state_target*'LEAP Statewide'!I4</f>
        <v>1.8654507486134126</v>
      </c>
      <c r="J4" s="4">
        <f>res_share_state_target*'LEAP Statewide'!J4</f>
        <v>3.5192445853649188</v>
      </c>
      <c r="K4" s="5">
        <f>res_share_state_target*'LEAP Statewide'!K4</f>
        <v>6.4788539461458141</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0.10204665057789859</v>
      </c>
      <c r="U4" s="4">
        <f ca="1">com_share_state_target*'LEAP Statewide'!U4</f>
        <v>0.63803925215695823</v>
      </c>
      <c r="V4" s="4">
        <f ca="1">com_share_state_target*'LEAP Statewide'!V4</f>
        <v>1.1970666559295726</v>
      </c>
      <c r="W4" s="5">
        <f ca="1">com_share_state_target*'LEAP Statewide'!W4</f>
        <v>2.1286138715205349</v>
      </c>
      <c r="Y4" s="23"/>
    </row>
    <row r="5" spans="1:25" x14ac:dyDescent="0.25">
      <c r="A5" s="1" t="s">
        <v>3</v>
      </c>
      <c r="B5" s="4">
        <f>res_share_state_target*'LEAP Statewide'!B5</f>
        <v>27.188944661040491</v>
      </c>
      <c r="C5" s="4">
        <f>res_share_state_target*'LEAP Statewide'!C5</f>
        <v>25.04726370542086</v>
      </c>
      <c r="D5" s="4">
        <f>res_share_state_target*'LEAP Statewide'!D5</f>
        <v>23.307372141810273</v>
      </c>
      <c r="E5" s="5">
        <f>res_share_state_target*'LEAP Statewide'!E5</f>
        <v>21.108292701617923</v>
      </c>
      <c r="G5" s="1" t="s">
        <v>3</v>
      </c>
      <c r="H5" s="4">
        <f>res_share_state_target*'LEAP Statewide'!H5</f>
        <v>27.271454982613776</v>
      </c>
      <c r="I5" s="4">
        <f>res_share_state_target*'LEAP Statewide'!I5</f>
        <v>25.599724119433294</v>
      </c>
      <c r="J5" s="4">
        <f>res_share_state_target*'LEAP Statewide'!J5</f>
        <v>23.899294013966454</v>
      </c>
      <c r="K5" s="5">
        <f>res_share_state_target*'LEAP Statewide'!K5</f>
        <v>22.758499133083635</v>
      </c>
      <c r="L5" s="21"/>
      <c r="M5" s="1" t="s">
        <v>14</v>
      </c>
      <c r="N5" s="4">
        <f ca="1">com_share_state_target*'LEAP Statewide'!N5</f>
        <v>9.5953573868635722</v>
      </c>
      <c r="O5" s="4">
        <f ca="1">com_share_state_target*'LEAP Statewide'!O5</f>
        <v>7.7525732113791888</v>
      </c>
      <c r="P5" s="4">
        <f ca="1">com_share_state_target*'LEAP Statewide'!P5</f>
        <v>5.6299038049408612</v>
      </c>
      <c r="Q5" s="5">
        <f ca="1">com_share_state_target*'LEAP Statewide'!Q5</f>
        <v>2.2985264984536382</v>
      </c>
      <c r="R5" s="2"/>
      <c r="S5" s="1" t="s">
        <v>14</v>
      </c>
      <c r="T5" s="4">
        <f ca="1">com_share_state_target*'LEAP Statewide'!T5</f>
        <v>9.4900908176994765</v>
      </c>
      <c r="U5" s="4">
        <f ca="1">com_share_state_target*'LEAP Statewide'!U5</f>
        <v>7.0984343662912517</v>
      </c>
      <c r="V5" s="4">
        <f ca="1">com_share_state_target*'LEAP Statewide'!V5</f>
        <v>4.4021240794198828</v>
      </c>
      <c r="W5" s="5">
        <f ca="1">com_share_state_target*'LEAP Statewide'!W5</f>
        <v>0.1149263249226819</v>
      </c>
      <c r="Y5" s="92"/>
    </row>
    <row r="6" spans="1:25" x14ac:dyDescent="0.25">
      <c r="A6" s="1" t="s">
        <v>4</v>
      </c>
      <c r="B6" s="4">
        <f>res_share_state_target*'LEAP Statewide'!B6</f>
        <v>4.1255160786642779</v>
      </c>
      <c r="C6" s="4">
        <f>res_share_state_target*'LEAP Statewide'!C6</f>
        <v>3.3434617263609629</v>
      </c>
      <c r="D6" s="4">
        <f>res_share_state_target*'LEAP Statewide'!D6</f>
        <v>2.2780023564798406</v>
      </c>
      <c r="E6" s="5">
        <f>res_share_state_target*'LEAP Statewide'!E6</f>
        <v>0.90043872673455116</v>
      </c>
      <c r="G6" s="1" t="s">
        <v>4</v>
      </c>
      <c r="H6" s="4">
        <f>res_share_state_target*'LEAP Statewide'!H6</f>
        <v>4.1506279156648436</v>
      </c>
      <c r="I6" s="4">
        <f>res_share_state_target*'LEAP Statewide'!I6</f>
        <v>3.408035021505273</v>
      </c>
      <c r="J6" s="4">
        <f>res_share_state_target*'LEAP Statewide'!J6</f>
        <v>1.9838351230446485</v>
      </c>
      <c r="K6" s="5">
        <f>res_share_state_target*'LEAP Statewide'!K6</f>
        <v>0.64214554615730934</v>
      </c>
      <c r="L6" s="21"/>
      <c r="M6" s="1" t="s">
        <v>15</v>
      </c>
      <c r="N6" s="89">
        <f ca="1">com_share_state_target*'LEAP Statewide'!N6</f>
        <v>17.630292689647625</v>
      </c>
      <c r="O6" s="89">
        <f ca="1">com_share_state_target*'LEAP Statewide'!O6</f>
        <v>17.813580363015696</v>
      </c>
      <c r="P6" s="89">
        <f ca="1">com_share_state_target*'LEAP Statewide'!P6</f>
        <v>17.647630712804066</v>
      </c>
      <c r="Q6" s="90">
        <f ca="1">com_share_state_target*'LEAP Statewide'!Q6</f>
        <v>17.729367107684421</v>
      </c>
      <c r="R6" s="4"/>
      <c r="S6" s="1" t="s">
        <v>15</v>
      </c>
      <c r="T6" s="89">
        <f ca="1">com_share_state_target*'LEAP Statewide'!T6</f>
        <v>17.630045003602532</v>
      </c>
      <c r="U6" s="89">
        <f ca="1">com_share_state_target*'LEAP Statewide'!U6</f>
        <v>17.812837304880418</v>
      </c>
      <c r="V6" s="89">
        <f ca="1">com_share_state_target*'LEAP Statewide'!V6</f>
        <v>17.646639968623699</v>
      </c>
      <c r="W6" s="90">
        <f ca="1">com_share_state_target*'LEAP Statewide'!W6</f>
        <v>17.730357851864788</v>
      </c>
      <c r="Y6" s="92"/>
    </row>
    <row r="7" spans="1:25" x14ac:dyDescent="0.25">
      <c r="A7" s="1" t="s">
        <v>5</v>
      </c>
      <c r="B7" s="4">
        <f>res_share_state_target*'LEAP Statewide'!B7</f>
        <v>0.41613901315222285</v>
      </c>
      <c r="C7" s="4">
        <f>res_share_state_target*'LEAP Statewide'!C7</f>
        <v>2.3425756516241512</v>
      </c>
      <c r="D7" s="4">
        <f>res_share_state_target*'LEAP Statewide'!D7</f>
        <v>4.4160959068136751</v>
      </c>
      <c r="E7" s="5">
        <f>res_share_state_target*'LEAP Statewide'!E7</f>
        <v>6.0914141752799518</v>
      </c>
      <c r="G7" s="1" t="s">
        <v>5</v>
      </c>
      <c r="H7" s="4">
        <f>res_share_state_target*'LEAP Statewide'!H7</f>
        <v>0.72824327301638991</v>
      </c>
      <c r="I7" s="4">
        <f>res_share_state_target*'LEAP Statewide'!I7</f>
        <v>4.0788798099489432</v>
      </c>
      <c r="J7" s="4">
        <f>res_share_state_target*'LEAP Statewide'!J7</f>
        <v>7.8779420076058742</v>
      </c>
      <c r="K7" s="5">
        <f>res_share_state_target*'LEAP Statewide'!K7</f>
        <v>10.851900989529948</v>
      </c>
      <c r="M7" s="1" t="s">
        <v>8</v>
      </c>
      <c r="N7" s="4">
        <f ca="1">com_share_state_target*'LEAP Statewide'!N7</f>
        <v>7.1754647263148597</v>
      </c>
      <c r="O7" s="4">
        <f ca="1">com_share_state_target*'LEAP Statewide'!O7</f>
        <v>7.3686598414866094</v>
      </c>
      <c r="P7" s="4">
        <f ca="1">com_share_state_target*'LEAP Statewide'!P7</f>
        <v>7.4231507714068465</v>
      </c>
      <c r="Q7" s="5">
        <f ca="1">com_share_state_target*'LEAP Statewide'!Q7</f>
        <v>7.6634062351460734</v>
      </c>
      <c r="R7" s="4"/>
      <c r="S7" s="1" t="s">
        <v>8</v>
      </c>
      <c r="T7" s="4">
        <f ca="1">com_share_state_target*'LEAP Statewide'!T7</f>
        <v>6.9726098553845226</v>
      </c>
      <c r="U7" s="4">
        <f ca="1">com_share_state_target*'LEAP Statewide'!U7</f>
        <v>6.0923336511276007</v>
      </c>
      <c r="V7" s="4">
        <f ca="1">com_share_state_target*'LEAP Statewide'!V7</f>
        <v>5.0295128316378852</v>
      </c>
      <c r="W7" s="5">
        <f ca="1">com_share_state_target*'LEAP Statewide'!W7</f>
        <v>3.4056831200148197</v>
      </c>
      <c r="Y7" s="92"/>
    </row>
    <row r="8" spans="1:25" x14ac:dyDescent="0.25">
      <c r="A8" s="1" t="s">
        <v>6</v>
      </c>
      <c r="B8" s="4">
        <f>res_share_state_target*'LEAP Statewide'!B8</f>
        <v>4.663626871533532E-2</v>
      </c>
      <c r="C8" s="4">
        <f>res_share_state_target*'LEAP Statewide'!C8</f>
        <v>0.34439090743632234</v>
      </c>
      <c r="D8" s="4">
        <f>res_share_state_target*'LEAP Statewide'!D8</f>
        <v>1.1730815284549729</v>
      </c>
      <c r="E8" s="5">
        <f>res_share_state_target*'LEAP Statewide'!E8</f>
        <v>2.4358481890548216</v>
      </c>
      <c r="G8" s="1" t="s">
        <v>6</v>
      </c>
      <c r="H8" s="4">
        <f>res_share_state_target*'LEAP Statewide'!H8</f>
        <v>0.20089469600452137</v>
      </c>
      <c r="I8" s="4">
        <f>res_share_state_target*'LEAP Statewide'!I8</f>
        <v>1.2484170394566685</v>
      </c>
      <c r="J8" s="4">
        <f>res_share_state_target*'LEAP Statewide'!J8</f>
        <v>2.7156658013468333</v>
      </c>
      <c r="K8" s="5">
        <f>res_share_state_target*'LEAP Statewide'!K8</f>
        <v>4.5057810389585509</v>
      </c>
      <c r="M8" s="1" t="s">
        <v>9</v>
      </c>
      <c r="N8" s="4">
        <f ca="1">com_share_state_target*'LEAP Statewide'!N8</f>
        <v>6.9129175185173537</v>
      </c>
      <c r="O8" s="4">
        <f ca="1">com_share_state_target*'LEAP Statewide'!O8</f>
        <v>8.3965569286183541</v>
      </c>
      <c r="P8" s="4">
        <f ca="1">com_share_state_target*'LEAP Statewide'!P8</f>
        <v>9.8108442460936001</v>
      </c>
      <c r="Q8" s="5">
        <f ca="1">com_share_state_target*'LEAP Statewide'!Q8</f>
        <v>12.302565859718987</v>
      </c>
      <c r="R8" s="4"/>
      <c r="S8" s="1" t="s">
        <v>9</v>
      </c>
      <c r="T8" s="4">
        <f ca="1">com_share_state_target*'LEAP Statewide'!T8</f>
        <v>6.4098671609355282</v>
      </c>
      <c r="U8" s="4">
        <f ca="1">com_share_state_target*'LEAP Statewide'!U8</f>
        <v>5.2516872140853978</v>
      </c>
      <c r="V8" s="4">
        <f ca="1">com_share_state_target*'LEAP Statewide'!V8</f>
        <v>3.9092288496868286</v>
      </c>
      <c r="W8" s="5">
        <f ca="1">com_share_state_target*'LEAP Statewide'!W8</f>
        <v>1.809098873351872</v>
      </c>
      <c r="Y8" s="23"/>
    </row>
    <row r="9" spans="1:25" x14ac:dyDescent="0.25">
      <c r="A9" s="1" t="s">
        <v>7</v>
      </c>
      <c r="B9" s="4">
        <f>res_share_state_target*'LEAP Statewide'!B9</f>
        <v>3.4905453430785589</v>
      </c>
      <c r="C9" s="4">
        <f>res_share_state_target*'LEAP Statewide'!C9</f>
        <v>2.8017635282059139</v>
      </c>
      <c r="D9" s="4">
        <f>res_share_state_target*'LEAP Statewide'!D9</f>
        <v>2.1380935503338345</v>
      </c>
      <c r="E9" s="5">
        <f>res_share_state_target*'LEAP Statewide'!E9</f>
        <v>1.0582845593095322</v>
      </c>
      <c r="G9" s="1" t="s">
        <v>7</v>
      </c>
      <c r="H9" s="4">
        <f>res_share_state_target*'LEAP Statewide'!H9</f>
        <v>3.4259720479342484</v>
      </c>
      <c r="I9" s="4">
        <f>res_share_state_target*'LEAP Statewide'!I9</f>
        <v>2.4681348366269766</v>
      </c>
      <c r="J9" s="4">
        <f>res_share_state_target*'LEAP Statewide'!J9</f>
        <v>1.5318220570344754</v>
      </c>
      <c r="K9" s="5">
        <f>res_share_state_target*'LEAP Statewide'!K9</f>
        <v>0</v>
      </c>
      <c r="L9" s="21"/>
      <c r="M9" s="1" t="s">
        <v>16</v>
      </c>
      <c r="N9" s="4">
        <f ca="1">com_share_state_target*'LEAP Statewide'!N9</f>
        <v>0.97340615721150836</v>
      </c>
      <c r="O9" s="4">
        <f ca="1">com_share_state_target*'LEAP Statewide'!O9</f>
        <v>0.72572011211952159</v>
      </c>
      <c r="P9" s="4">
        <f ca="1">com_share_state_target*'LEAP Statewide'!P9</f>
        <v>0.44583488116557635</v>
      </c>
      <c r="Q9" s="5">
        <f ca="1">com_share_state_target*'LEAP Statewide'!Q9</f>
        <v>0</v>
      </c>
      <c r="R9" s="2"/>
      <c r="S9" s="1" t="s">
        <v>16</v>
      </c>
      <c r="T9" s="4">
        <f ca="1">com_share_state_target*'LEAP Statewide'!T9</f>
        <v>0.97266309907623238</v>
      </c>
      <c r="U9" s="4">
        <f ca="1">com_share_state_target*'LEAP Statewide'!U9</f>
        <v>0.72448168189406159</v>
      </c>
      <c r="V9" s="4">
        <f ca="1">com_share_state_target*'LEAP Statewide'!V9</f>
        <v>0.44484413698520842</v>
      </c>
      <c r="W9" s="5">
        <f ca="1">com_share_state_target*'LEAP Statewide'!W9</f>
        <v>0</v>
      </c>
      <c r="Y9" s="23"/>
    </row>
    <row r="10" spans="1:25" x14ac:dyDescent="0.25">
      <c r="A10" s="1" t="s">
        <v>8</v>
      </c>
      <c r="B10" s="4">
        <f>res_share_state_target*'LEAP Statewide'!B10</f>
        <v>20.136105869167473</v>
      </c>
      <c r="C10" s="4">
        <f>res_share_state_target*'LEAP Statewide'!C10</f>
        <v>16.132561570220226</v>
      </c>
      <c r="D10" s="4">
        <f>res_share_state_target*'LEAP Statewide'!D10</f>
        <v>11.917360359411072</v>
      </c>
      <c r="E10" s="5">
        <f>res_share_state_target*'LEAP Statewide'!E10</f>
        <v>4.3012989376682347</v>
      </c>
      <c r="G10" s="1" t="s">
        <v>8</v>
      </c>
      <c r="H10" s="4">
        <f>res_share_state_target*'LEAP Statewide'!H10</f>
        <v>19.899337120305002</v>
      </c>
      <c r="I10" s="4">
        <f>res_share_state_target*'LEAP Statewide'!I10</f>
        <v>15.203423601199313</v>
      </c>
      <c r="J10" s="4">
        <f>res_share_state_target*'LEAP Statewide'!J10</f>
        <v>10.640244077668042</v>
      </c>
      <c r="K10" s="5">
        <f>res_share_state_target*'LEAP Statewide'!K10</f>
        <v>3.5909926910808196</v>
      </c>
      <c r="L10" s="21"/>
      <c r="M10" s="1" t="s">
        <v>17</v>
      </c>
      <c r="N10" s="4">
        <f ca="1">com_share_state_target*'LEAP Statewide'!N10</f>
        <v>3.0985524241007556</v>
      </c>
      <c r="O10" s="4">
        <f ca="1">com_share_state_target*'LEAP Statewide'!O10</f>
        <v>3.2967012601743453</v>
      </c>
      <c r="P10" s="4">
        <f ca="1">com_share_state_target*'LEAP Statewide'!P10</f>
        <v>3.4428360267786173</v>
      </c>
      <c r="Q10" s="5">
        <f ca="1">com_share_state_target*'LEAP Statewide'!Q10</f>
        <v>3.7450130017908414</v>
      </c>
      <c r="R10" s="4"/>
      <c r="S10" s="1" t="s">
        <v>17</v>
      </c>
      <c r="T10" s="4">
        <f ca="1">com_share_state_target*'LEAP Statewide'!T10</f>
        <v>3.3264235855853839</v>
      </c>
      <c r="U10" s="4">
        <f ca="1">com_share_state_target*'LEAP Statewide'!U10</f>
        <v>4.7258497403551099</v>
      </c>
      <c r="V10" s="4">
        <f ca="1">com_share_state_target*'LEAP Statewide'!V10</f>
        <v>6.1232944067640993</v>
      </c>
      <c r="W10" s="5">
        <f ca="1">com_share_state_target*'LEAP Statewide'!W10</f>
        <v>8.5139601139919563</v>
      </c>
      <c r="Y10" s="23"/>
    </row>
    <row r="11" spans="1:25" x14ac:dyDescent="0.25">
      <c r="A11" s="1" t="s">
        <v>9</v>
      </c>
      <c r="B11" s="4">
        <f>res_share_state_target*'LEAP Statewide'!B11</f>
        <v>17.38456601496269</v>
      </c>
      <c r="C11" s="4">
        <f>res_share_state_target*'LEAP Statewide'!C11</f>
        <v>22.564779247650705</v>
      </c>
      <c r="D11" s="4">
        <f>res_share_state_target*'LEAP Statewide'!D11</f>
        <v>29.000584330366976</v>
      </c>
      <c r="E11" s="5">
        <f>res_share_state_target*'LEAP Statewide'!E11</f>
        <v>42.474878583813087</v>
      </c>
      <c r="G11" s="1" t="s">
        <v>9</v>
      </c>
      <c r="H11" s="4">
        <f>res_share_state_target*'LEAP Statewide'!H11</f>
        <v>15.831219526213443</v>
      </c>
      <c r="I11" s="4">
        <f>res_share_state_target*'LEAP Statewide'!I11</f>
        <v>12.591792553140536</v>
      </c>
      <c r="J11" s="4">
        <f>res_share_state_target*'LEAP Statewide'!J11</f>
        <v>7.0205521443008632</v>
      </c>
      <c r="K11" s="5">
        <f>res_share_state_target*'LEAP Statewide'!K11</f>
        <v>0.87173948444819094</v>
      </c>
      <c r="L11" s="21"/>
      <c r="M11" s="7" t="s">
        <v>12</v>
      </c>
      <c r="N11" s="8">
        <f ca="1">SUM(N4:N10)</f>
        <v>45.385990902655671</v>
      </c>
      <c r="O11" s="8">
        <f ca="1">SUM(O4:O10)</f>
        <v>45.353791716793708</v>
      </c>
      <c r="P11" s="8">
        <f ca="1">SUM(P4:P10)</f>
        <v>44.400200443189561</v>
      </c>
      <c r="Q11" s="9">
        <f ca="1">SUM(Q4:Q10)</f>
        <v>43.738878702793954</v>
      </c>
      <c r="R11" s="4"/>
      <c r="S11" s="7" t="s">
        <v>12</v>
      </c>
      <c r="T11" s="8">
        <f ca="1">SUM(T4:T10)</f>
        <v>44.903746172861567</v>
      </c>
      <c r="U11" s="8">
        <f ca="1">SUM(U4:U10)</f>
        <v>42.343663210790794</v>
      </c>
      <c r="V11" s="8">
        <f ca="1">SUM(V4:V10)</f>
        <v>38.752710929047183</v>
      </c>
      <c r="W11" s="9">
        <f ca="1">SUM(W4:W10)</f>
        <v>33.702640155666657</v>
      </c>
    </row>
    <row r="12" spans="1:25" x14ac:dyDescent="0.25">
      <c r="A12" s="1" t="s">
        <v>10</v>
      </c>
      <c r="B12" s="4">
        <f>res_share_state_target*'LEAP Statewide'!B12</f>
        <v>37.233679461266561</v>
      </c>
      <c r="C12" s="4">
        <f>res_share_state_target*'LEAP Statewide'!C12</f>
        <v>29.251702700372629</v>
      </c>
      <c r="D12" s="4">
        <f>res_share_state_target*'LEAP Statewide'!D12</f>
        <v>19.282303411148256</v>
      </c>
      <c r="E12" s="5">
        <f>res_share_state_target*'LEAP Statewide'!E12</f>
        <v>5.1622762062590404</v>
      </c>
      <c r="G12" s="1" t="s">
        <v>10</v>
      </c>
      <c r="H12" s="4">
        <f>res_share_state_target*'LEAP Statewide'!H12</f>
        <v>36.505436188250172</v>
      </c>
      <c r="I12" s="4">
        <f>res_share_state_target*'LEAP Statewide'!I12</f>
        <v>26.159359344017318</v>
      </c>
      <c r="J12" s="4">
        <f>res_share_state_target*'LEAP Statewide'!J12</f>
        <v>16.121799354362839</v>
      </c>
      <c r="K12" s="5">
        <f>res_share_state_target*'LEAP Statewide'!K12</f>
        <v>0</v>
      </c>
      <c r="L12" s="21"/>
    </row>
    <row r="13" spans="1:25" x14ac:dyDescent="0.25">
      <c r="A13" s="1" t="s">
        <v>11</v>
      </c>
      <c r="B13" s="4">
        <f>res_share_state_target*'LEAP Statewide'!B13</f>
        <v>2.3102890040519957</v>
      </c>
      <c r="C13" s="4">
        <f>res_share_state_target*'LEAP Statewide'!C13</f>
        <v>3.0600567087831561</v>
      </c>
      <c r="D13" s="4">
        <f>res_share_state_target*'LEAP Statewide'!D13</f>
        <v>3.777537765942161</v>
      </c>
      <c r="E13" s="5">
        <f>res_share_state_target*'LEAP Statewide'!E13</f>
        <v>4.8860459992528229</v>
      </c>
      <c r="G13" s="1" t="s">
        <v>11</v>
      </c>
      <c r="H13" s="4">
        <f>res_share_state_target*'LEAP Statewide'!H13</f>
        <v>2.6582673167741131</v>
      </c>
      <c r="I13" s="4">
        <f>res_share_state_target*'LEAP Statewide'!I13</f>
        <v>4.8645215675380529</v>
      </c>
      <c r="J13" s="4">
        <f>res_share_state_target*'LEAP Statewide'!J13</f>
        <v>6.5541894571475101</v>
      </c>
      <c r="K13" s="5">
        <f>res_share_state_target*'LEAP Statewide'!K13</f>
        <v>8.1577596198978863</v>
      </c>
      <c r="L13" s="21"/>
      <c r="N13" s="21"/>
      <c r="O13" s="21"/>
      <c r="P13" s="21"/>
      <c r="Q13" s="21"/>
      <c r="T13" s="21"/>
      <c r="U13" s="21"/>
      <c r="V13" s="21"/>
      <c r="W13" s="21"/>
    </row>
    <row r="14" spans="1:25" x14ac:dyDescent="0.25">
      <c r="A14" s="7" t="s">
        <v>12</v>
      </c>
      <c r="B14" s="8">
        <f>SUM(B4:B13)</f>
        <v>112.33242171409961</v>
      </c>
      <c r="C14" s="8">
        <f>SUM(C4:C13)</f>
        <v>104.88855574607493</v>
      </c>
      <c r="D14" s="8">
        <f>SUM(D4:D13)</f>
        <v>97.290431350761054</v>
      </c>
      <c r="E14" s="9">
        <f>SUM(E4:E13)</f>
        <v>88.418778078989973</v>
      </c>
      <c r="G14" s="7" t="s">
        <v>12</v>
      </c>
      <c r="H14" s="8">
        <f>SUM(H4:H13)</f>
        <v>110.97996992135488</v>
      </c>
      <c r="I14" s="8">
        <f>SUM(I4:I13)</f>
        <v>97.487738641479794</v>
      </c>
      <c r="J14" s="8">
        <f>SUM(J4:J13)</f>
        <v>81.864588621842458</v>
      </c>
      <c r="K14" s="9">
        <f>SUM(K4:K13)</f>
        <v>57.857672449302164</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100.44734800226068</v>
      </c>
      <c r="C24" s="4">
        <f>res_share_state_target*'LEAP Statewide'!C24*1000</f>
        <v>82.510321573285566</v>
      </c>
      <c r="D24" s="4">
        <f>res_share_state_target*'LEAP Statewide'!D24*1000</f>
        <v>71.748105715900479</v>
      </c>
      <c r="E24" s="5">
        <f>res_share_state_target*'LEAP Statewide'!E24*1000</f>
        <v>60.985889858515414</v>
      </c>
      <c r="G24" s="1" t="s">
        <v>21</v>
      </c>
      <c r="H24" s="4">
        <f>res_share_state_target*'LEAP Statewide'!H24*1000</f>
        <v>100.44734800226068</v>
      </c>
      <c r="I24" s="4">
        <f>res_share_state_target*'LEAP Statewide'!I24*1000</f>
        <v>82.510321573285566</v>
      </c>
      <c r="J24" s="4">
        <f>res_share_state_target*'LEAP Statewide'!J24*1000</f>
        <v>39.461458143745269</v>
      </c>
      <c r="K24" s="5">
        <f>res_share_state_target*'LEAP Statewide'!K24*1000</f>
        <v>3.5874052857950245</v>
      </c>
    </row>
    <row r="25" spans="1:16" x14ac:dyDescent="0.25">
      <c r="A25" s="1" t="s">
        <v>22</v>
      </c>
      <c r="B25" s="4">
        <f>res_share_state_target*'LEAP Statewide'!B25*1000</f>
        <v>14.349621143180098</v>
      </c>
      <c r="C25" s="4">
        <f>res_share_state_target*'LEAP Statewide'!C25*1000</f>
        <v>10.762215857385073</v>
      </c>
      <c r="D25" s="4">
        <f>res_share_state_target*'LEAP Statewide'!D25*1000</f>
        <v>10.762215857385073</v>
      </c>
      <c r="E25" s="5">
        <f>res_share_state_target*'LEAP Statewide'!E25*1000</f>
        <v>7.174810571590049</v>
      </c>
      <c r="G25" s="1" t="s">
        <v>22</v>
      </c>
      <c r="H25" s="4">
        <f>res_share_state_target*'LEAP Statewide'!H25*1000</f>
        <v>14.349621143180098</v>
      </c>
      <c r="I25" s="4">
        <f>res_share_state_target*'LEAP Statewide'!I25*1000</f>
        <v>10.762215857385073</v>
      </c>
      <c r="J25" s="4">
        <f>res_share_state_target*'LEAP Statewide'!J25*1000</f>
        <v>3.5874052857950245</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7.174810571590049</v>
      </c>
      <c r="K26" s="5">
        <f>res_share_state_target*'LEAP Statewide'!K26*1000</f>
        <v>17.93702642897512</v>
      </c>
    </row>
    <row r="27" spans="1:16" x14ac:dyDescent="0.25">
      <c r="A27" s="1" t="s">
        <v>20</v>
      </c>
      <c r="B27" s="4">
        <f>res_share_state_target*'LEAP Statewide'!B27*1000</f>
        <v>3.5874052857950245</v>
      </c>
      <c r="C27" s="4">
        <f>res_share_state_target*'LEAP Statewide'!C27*1000</f>
        <v>3.5874052857950245</v>
      </c>
      <c r="D27" s="4">
        <f>res_share_state_target*'LEAP Statewide'!D27*1000</f>
        <v>3.5874052857950245</v>
      </c>
      <c r="E27" s="5">
        <f>res_share_state_target*'LEAP Statewide'!E27*1000</f>
        <v>3.5874052857950245</v>
      </c>
      <c r="G27" s="1" t="s">
        <v>20</v>
      </c>
      <c r="H27" s="4">
        <f>res_share_state_target*'LEAP Statewide'!H27*1000</f>
        <v>3.5874052857950245</v>
      </c>
      <c r="I27" s="4">
        <f>res_share_state_target*'LEAP Statewide'!I27*1000</f>
        <v>3.5874052857950245</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3.5874052857950245</v>
      </c>
      <c r="K28" s="5">
        <f>res_share_state_target*'LEAP Statewide'!K28*1000</f>
        <v>3.5874052857950245</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118.38437443123581</v>
      </c>
      <c r="C30" s="8">
        <f>SUM(C24:C29)</f>
        <v>96.859942716465667</v>
      </c>
      <c r="D30" s="8">
        <f>SUM(D24:D29)</f>
        <v>86.097726859080581</v>
      </c>
      <c r="E30" s="9">
        <f>SUM(E24:E29)</f>
        <v>71.748105715900493</v>
      </c>
      <c r="G30" s="7" t="s">
        <v>12</v>
      </c>
      <c r="H30" s="8">
        <f>SUM(H24:H29)</f>
        <v>118.38437443123581</v>
      </c>
      <c r="I30" s="8">
        <f>SUM(I24:I29)</f>
        <v>96.859942716465667</v>
      </c>
      <c r="J30" s="8">
        <f>SUM(J24:J29)</f>
        <v>53.811079286925363</v>
      </c>
      <c r="K30" s="9">
        <f>SUM(K24:K29)</f>
        <v>25.111837000565171</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0.36950274443688752</v>
      </c>
      <c r="C49" s="20">
        <f>res_share_state_target*'LEAP Statewide'!C49</f>
        <v>1.7685908058969471</v>
      </c>
      <c r="D49" s="20">
        <f>res_share_state_target*'LEAP Statewide'!D49</f>
        <v>3.0672315193547459</v>
      </c>
      <c r="E49" s="20">
        <f>res_share_state_target*'LEAP Statewide'!E49</f>
        <v>5.0582414529709849</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0.48772093023255814</v>
      </c>
      <c r="I4" s="4">
        <f>res_share_region_target*'LEAP Scenario'!I4</f>
        <v>1.741860465116279</v>
      </c>
      <c r="J4" s="4">
        <f>res_share_region_target*'LEAP Scenario'!J4</f>
        <v>2.8566511627906976</v>
      </c>
      <c r="K4" s="5">
        <f>res_share_region_target*'LEAP Scenario'!K4</f>
        <v>4.4243255813953493</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0.24126113776559285</v>
      </c>
      <c r="U4" s="4">
        <f>com_share_region_target*'LEAP Scenario'!U4</f>
        <v>1.4777244688142561</v>
      </c>
      <c r="V4" s="4">
        <f>com_share_region_target*'LEAP Scenario'!V4</f>
        <v>2.7745030843043179</v>
      </c>
      <c r="W4" s="5">
        <f>com_share_region_target*'LEAP Scenario'!W4</f>
        <v>4.9458533241946538</v>
      </c>
      <c r="Y4" s="23"/>
    </row>
    <row r="5" spans="1:25" x14ac:dyDescent="0.25">
      <c r="A5" s="1" t="s">
        <v>3</v>
      </c>
      <c r="B5" s="4">
        <f>res_share_region_target*'LEAP Scenario'!B5</f>
        <v>65.842325581395343</v>
      </c>
      <c r="C5" s="4">
        <f>res_share_region_target*'LEAP Scenario'!C5</f>
        <v>54.624744186046513</v>
      </c>
      <c r="D5" s="4">
        <f>res_share_region_target*'LEAP Scenario'!D5</f>
        <v>45.32320930232558</v>
      </c>
      <c r="E5" s="5">
        <f>res_share_region_target*'LEAP Scenario'!E5</f>
        <v>34.523674418604649</v>
      </c>
      <c r="G5" s="1" t="s">
        <v>3</v>
      </c>
      <c r="H5" s="4">
        <f>res_share_region_target*'LEAP Scenario'!H5</f>
        <v>64.762372093023259</v>
      </c>
      <c r="I5" s="4">
        <f>res_share_region_target*'LEAP Scenario'!I5</f>
        <v>51.210697674418604</v>
      </c>
      <c r="J5" s="4">
        <f>res_share_region_target*'LEAP Scenario'!J5</f>
        <v>39.296372093023258</v>
      </c>
      <c r="K5" s="5">
        <f>res_share_region_target*'LEAP Scenario'!K5</f>
        <v>26.127906976744185</v>
      </c>
      <c r="L5" s="21"/>
      <c r="M5" s="1" t="s">
        <v>14</v>
      </c>
      <c r="N5" s="4">
        <f>com_share_region_target*'LEAP Scenario'!N5</f>
        <v>12.455106237148732</v>
      </c>
      <c r="O5" s="4">
        <f>com_share_region_target*'LEAP Scenario'!O5</f>
        <v>10.223440712816997</v>
      </c>
      <c r="P5" s="4">
        <f>com_share_region_target*'LEAP Scenario'!P5</f>
        <v>7.6298834818368739</v>
      </c>
      <c r="Q5" s="5">
        <f>com_share_region_target*'LEAP Scenario'!Q5</f>
        <v>3.5586017820424947</v>
      </c>
      <c r="R5" s="2"/>
      <c r="S5" s="1" t="s">
        <v>14</v>
      </c>
      <c r="T5" s="4">
        <f>com_share_region_target*'LEAP Scenario'!T5</f>
        <v>12.304318026045236</v>
      </c>
      <c r="U5" s="4">
        <f>com_share_region_target*'LEAP Scenario'!U5</f>
        <v>9.1679232350925286</v>
      </c>
      <c r="V5" s="4">
        <f>com_share_region_target*'LEAP Scenario'!V5</f>
        <v>5.6394790952707332</v>
      </c>
      <c r="W5" s="5">
        <f>com_share_region_target*'LEAP Scenario'!W5</f>
        <v>3.0157642220699107E-2</v>
      </c>
      <c r="Y5" s="92"/>
    </row>
    <row r="6" spans="1:25" x14ac:dyDescent="0.25">
      <c r="A6" s="1" t="s">
        <v>4</v>
      </c>
      <c r="B6" s="4">
        <f>res_share_region_target*'LEAP Scenario'!B6</f>
        <v>6.6539069767441861</v>
      </c>
      <c r="C6" s="4">
        <f>res_share_region_target*'LEAP Scenario'!C6</f>
        <v>4.9468837209302325</v>
      </c>
      <c r="D6" s="4">
        <f>res_share_region_target*'LEAP Scenario'!D6</f>
        <v>2.8566511627906976</v>
      </c>
      <c r="E6" s="5">
        <f>res_share_region_target*'LEAP Scenario'!E6</f>
        <v>0.83609302325581392</v>
      </c>
      <c r="G6" s="1" t="s">
        <v>4</v>
      </c>
      <c r="H6" s="4">
        <f>res_share_region_target*'LEAP Scenario'!H6</f>
        <v>7.2113023255813955</v>
      </c>
      <c r="I6" s="4">
        <f>res_share_region_target*'LEAP Scenario'!I6</f>
        <v>6.5145581395348842</v>
      </c>
      <c r="J6" s="4">
        <f>res_share_region_target*'LEAP Scenario'!J6</f>
        <v>3.5533953488372094</v>
      </c>
      <c r="K6" s="5">
        <f>res_share_region_target*'LEAP Scenario'!K6</f>
        <v>1.0799534883720932</v>
      </c>
      <c r="L6" s="21"/>
      <c r="M6" s="1" t="s">
        <v>15</v>
      </c>
      <c r="N6" s="89">
        <f>com_share_region_target*'LEAP Scenario'!N6</f>
        <v>22.738862234407126</v>
      </c>
      <c r="O6" s="89">
        <f>com_share_region_target*'LEAP Scenario'!O6</f>
        <v>24.186429061000684</v>
      </c>
      <c r="P6" s="89">
        <f>com_share_region_target*'LEAP Scenario'!P6</f>
        <v>25.241946538725152</v>
      </c>
      <c r="Q6" s="90">
        <f>com_share_region_target*'LEAP Scenario'!Q6</f>
        <v>27.473612063056887</v>
      </c>
      <c r="R6" s="4"/>
      <c r="S6" s="1" t="s">
        <v>15</v>
      </c>
      <c r="T6" s="89">
        <f>com_share_region_target*'LEAP Scenario'!T6</f>
        <v>22.437285812200134</v>
      </c>
      <c r="U6" s="89">
        <f>com_share_region_target*'LEAP Scenario'!U6</f>
        <v>22.22618231665524</v>
      </c>
      <c r="V6" s="89">
        <f>com_share_region_target*'LEAP Scenario'!V6</f>
        <v>21.532556545579162</v>
      </c>
      <c r="W6" s="90">
        <f>com_share_region_target*'LEAP Scenario'!W6</f>
        <v>20.86908841672378</v>
      </c>
      <c r="Y6" s="92"/>
    </row>
    <row r="7" spans="1:25" x14ac:dyDescent="0.25">
      <c r="A7" s="1" t="s">
        <v>5</v>
      </c>
      <c r="B7" s="4">
        <f>res_share_region_target*'LEAP Scenario'!B7</f>
        <v>0.90576744186046509</v>
      </c>
      <c r="C7" s="4">
        <f>res_share_region_target*'LEAP Scenario'!C7</f>
        <v>4.2849767441860465</v>
      </c>
      <c r="D7" s="4">
        <f>res_share_region_target*'LEAP Scenario'!D7</f>
        <v>6.6539069767441861</v>
      </c>
      <c r="E7" s="5">
        <f>res_share_region_target*'LEAP Scenario'!E7</f>
        <v>8.3609302325581396</v>
      </c>
      <c r="G7" s="1" t="s">
        <v>5</v>
      </c>
      <c r="H7" s="4">
        <f>res_share_region_target*'LEAP Scenario'!H7</f>
        <v>0.80125581395348844</v>
      </c>
      <c r="I7" s="4">
        <f>res_share_region_target*'LEAP Scenario'!I7</f>
        <v>3.8320930232558141</v>
      </c>
      <c r="J7" s="4">
        <f>res_share_region_target*'LEAP Scenario'!J7</f>
        <v>7.8383720930232563</v>
      </c>
      <c r="K7" s="5">
        <f>res_share_region_target*'LEAP Scenario'!K7</f>
        <v>9.4060465116279079</v>
      </c>
      <c r="M7" s="1" t="s">
        <v>8</v>
      </c>
      <c r="N7" s="4">
        <f>com_share_region_target*'LEAP Scenario'!N7</f>
        <v>9.3790267306374222</v>
      </c>
      <c r="O7" s="4">
        <f>com_share_region_target*'LEAP Scenario'!O7</f>
        <v>10.1329677861549</v>
      </c>
      <c r="P7" s="4">
        <f>com_share_region_target*'LEAP Scenario'!P7</f>
        <v>10.705962988348183</v>
      </c>
      <c r="Q7" s="5">
        <f>com_share_region_target*'LEAP Scenario'!Q7</f>
        <v>11.882111034955448</v>
      </c>
      <c r="R7" s="4"/>
      <c r="S7" s="1" t="s">
        <v>8</v>
      </c>
      <c r="T7" s="4">
        <f>com_share_region_target*'LEAP Scenario'!T7</f>
        <v>9.0171350239890327</v>
      </c>
      <c r="U7" s="4">
        <f>com_share_region_target*'LEAP Scenario'!U7</f>
        <v>7.7806716929403699</v>
      </c>
      <c r="V7" s="4">
        <f>com_share_region_target*'LEAP Scenario'!V7</f>
        <v>6.3029472241261129</v>
      </c>
      <c r="W7" s="5">
        <f>com_share_region_target*'LEAP Scenario'!W7</f>
        <v>4.0109664153529812</v>
      </c>
      <c r="Y7" s="92"/>
    </row>
    <row r="8" spans="1:25" x14ac:dyDescent="0.25">
      <c r="A8" s="1" t="s">
        <v>6</v>
      </c>
      <c r="B8" s="4">
        <f>res_share_region_target*'LEAP Scenario'!B8</f>
        <v>0.10451162790697674</v>
      </c>
      <c r="C8" s="4">
        <f>res_share_region_target*'LEAP Scenario'!C8</f>
        <v>0.45288372093023255</v>
      </c>
      <c r="D8" s="4">
        <f>res_share_region_target*'LEAP Scenario'!D8</f>
        <v>1.6373488372093024</v>
      </c>
      <c r="E8" s="5">
        <f>res_share_region_target*'LEAP Scenario'!E8</f>
        <v>3.9366046511627908</v>
      </c>
      <c r="G8" s="1" t="s">
        <v>6</v>
      </c>
      <c r="H8" s="4">
        <f>res_share_region_target*'LEAP Scenario'!H8</f>
        <v>0.55739534883720931</v>
      </c>
      <c r="I8" s="4">
        <f>res_share_region_target*'LEAP Scenario'!I8</f>
        <v>1.6025116279069769</v>
      </c>
      <c r="J8" s="4">
        <f>res_share_region_target*'LEAP Scenario'!J8</f>
        <v>3.1353488372093024</v>
      </c>
      <c r="K8" s="5">
        <f>res_share_region_target*'LEAP Scenario'!K8</f>
        <v>4.3894883720930231</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4.4939999999999998</v>
      </c>
      <c r="C9" s="4">
        <f>res_share_region_target*'LEAP Scenario'!C9</f>
        <v>5.7133023255813953</v>
      </c>
      <c r="D9" s="4">
        <f>res_share_region_target*'LEAP Scenario'!D9</f>
        <v>7.0022790697674422</v>
      </c>
      <c r="E9" s="5">
        <f>res_share_region_target*'LEAP Scenario'!E9</f>
        <v>1.7766976744186047</v>
      </c>
      <c r="G9" s="1" t="s">
        <v>7</v>
      </c>
      <c r="H9" s="4">
        <f>res_share_region_target*'LEAP Scenario'!H9</f>
        <v>4.1804651162790698</v>
      </c>
      <c r="I9" s="4">
        <f>res_share_region_target*'LEAP Scenario'!I9</f>
        <v>4.8423720930232559</v>
      </c>
      <c r="J9" s="4">
        <f>res_share_region_target*'LEAP Scenario'!J9</f>
        <v>5.6087906976744186</v>
      </c>
      <c r="K9" s="5">
        <f>res_share_region_target*'LEAP Scenario'!K9</f>
        <v>0</v>
      </c>
      <c r="L9" s="21"/>
      <c r="M9" s="1" t="s">
        <v>16</v>
      </c>
      <c r="N9" s="4">
        <f>com_share_region_target*'LEAP Scenario'!N9</f>
        <v>1.2666209732693625</v>
      </c>
      <c r="O9" s="4">
        <f>com_share_region_target*'LEAP Scenario'!O9</f>
        <v>0.93488690884167236</v>
      </c>
      <c r="P9" s="4">
        <f>com_share_region_target*'LEAP Scenario'!P9</f>
        <v>0.57299520219328304</v>
      </c>
      <c r="Q9" s="5">
        <f>com_share_region_target*'LEAP Scenario'!Q9</f>
        <v>0</v>
      </c>
      <c r="R9" s="2"/>
      <c r="S9" s="1" t="s">
        <v>16</v>
      </c>
      <c r="T9" s="4">
        <f>com_share_region_target*'LEAP Scenario'!T9</f>
        <v>1.2666209732693625</v>
      </c>
      <c r="U9" s="4">
        <f>com_share_region_target*'LEAP Scenario'!U9</f>
        <v>0.93488690884167236</v>
      </c>
      <c r="V9" s="4">
        <f>com_share_region_target*'LEAP Scenario'!V9</f>
        <v>0.57299520219328304</v>
      </c>
      <c r="W9" s="5">
        <f>com_share_region_target*'LEAP Scenario'!W9</f>
        <v>0</v>
      </c>
      <c r="Y9" s="23"/>
    </row>
    <row r="10" spans="1:25" x14ac:dyDescent="0.25">
      <c r="A10" s="1" t="s">
        <v>8</v>
      </c>
      <c r="B10" s="4">
        <f>res_share_region_target*'LEAP Scenario'!B10</f>
        <v>25.187302325581395</v>
      </c>
      <c r="C10" s="4">
        <f>res_share_region_target*'LEAP Scenario'!C10</f>
        <v>20.553953488372095</v>
      </c>
      <c r="D10" s="4">
        <f>res_share_region_target*'LEAP Scenario'!D10</f>
        <v>16.443162790697674</v>
      </c>
      <c r="E10" s="5">
        <f>res_share_region_target*'LEAP Scenario'!E10</f>
        <v>11.008558139534884</v>
      </c>
      <c r="G10" s="1" t="s">
        <v>8</v>
      </c>
      <c r="H10" s="4">
        <f>res_share_region_target*'LEAP Scenario'!H10</f>
        <v>24.629906976744188</v>
      </c>
      <c r="I10" s="4">
        <f>res_share_region_target*'LEAP Scenario'!I10</f>
        <v>19.264976744186047</v>
      </c>
      <c r="J10" s="4">
        <f>res_share_region_target*'LEAP Scenario'!J10</f>
        <v>12.332372093023256</v>
      </c>
      <c r="K10" s="5">
        <f>res_share_region_target*'LEAP Scenario'!K10</f>
        <v>4.3198139534883726</v>
      </c>
      <c r="L10" s="21"/>
      <c r="M10" s="1" t="s">
        <v>17</v>
      </c>
      <c r="N10" s="4">
        <f>com_share_region_target*'LEAP Scenario'!N10</f>
        <v>4.0712816997943797</v>
      </c>
      <c r="O10" s="4">
        <f>com_share_region_target*'LEAP Scenario'!O10</f>
        <v>4.5538039753255655</v>
      </c>
      <c r="P10" s="4">
        <f>com_share_region_target*'LEAP Scenario'!P10</f>
        <v>5.0061686086360515</v>
      </c>
      <c r="Q10" s="5">
        <f>com_share_region_target*'LEAP Scenario'!Q10</f>
        <v>5.7902673063742283</v>
      </c>
      <c r="R10" s="4"/>
      <c r="S10" s="1" t="s">
        <v>17</v>
      </c>
      <c r="T10" s="4">
        <f>com_share_region_target*'LEAP Scenario'!T10</f>
        <v>4.2522275531185745</v>
      </c>
      <c r="U10" s="4">
        <f>com_share_region_target*'LEAP Scenario'!U10</f>
        <v>5.820424948594928</v>
      </c>
      <c r="V10" s="4">
        <f>com_share_region_target*'LEAP Scenario'!V10</f>
        <v>7.3584647018505818</v>
      </c>
      <c r="W10" s="5">
        <f>com_share_region_target*'LEAP Scenario'!W10</f>
        <v>10.012337217272103</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49.910897875257021</v>
      </c>
      <c r="O11" s="8">
        <f>SUM(O4:O10)</f>
        <v>50.031528444139816</v>
      </c>
      <c r="P11" s="8">
        <f>SUM(P4:P10)</f>
        <v>49.156956819739548</v>
      </c>
      <c r="Q11" s="9">
        <f>SUM(Q4:Q10)</f>
        <v>48.704592186429053</v>
      </c>
      <c r="R11" s="4"/>
      <c r="S11" s="7" t="s">
        <v>12</v>
      </c>
      <c r="T11" s="8">
        <f>SUM(T4:T10)</f>
        <v>49.518848526387927</v>
      </c>
      <c r="U11" s="8">
        <f>SUM(U4:U10)</f>
        <v>47.407813570938998</v>
      </c>
      <c r="V11" s="8">
        <f>SUM(V4:V10)</f>
        <v>44.180945853324189</v>
      </c>
      <c r="W11" s="9">
        <f>SUM(W4:W10)</f>
        <v>39.868403015764216</v>
      </c>
    </row>
    <row r="12" spans="1:25" x14ac:dyDescent="0.25">
      <c r="A12" s="1" t="s">
        <v>10</v>
      </c>
      <c r="B12" s="4">
        <f>res_share_region_target*'LEAP Scenario'!B12</f>
        <v>61.348325581395351</v>
      </c>
      <c r="C12" s="4">
        <f>res_share_region_target*'LEAP Scenario'!C12</f>
        <v>46.751534883720929</v>
      </c>
      <c r="D12" s="4">
        <f>res_share_region_target*'LEAP Scenario'!D12</f>
        <v>32.74697674418605</v>
      </c>
      <c r="E12" s="5">
        <f>res_share_region_target*'LEAP Scenario'!E12</f>
        <v>14.318093023255814</v>
      </c>
      <c r="G12" s="1" t="s">
        <v>10</v>
      </c>
      <c r="H12" s="4">
        <f>res_share_region_target*'LEAP Scenario'!H12</f>
        <v>59.01423255813954</v>
      </c>
      <c r="I12" s="4">
        <f>res_share_region_target*'LEAP Scenario'!I12</f>
        <v>39.644744186046509</v>
      </c>
      <c r="J12" s="4">
        <f>res_share_region_target*'LEAP Scenario'!J12</f>
        <v>20.937162790697673</v>
      </c>
      <c r="K12" s="5">
        <f>res_share_region_target*'LEAP Scenario'!K12</f>
        <v>0</v>
      </c>
      <c r="L12" s="21"/>
    </row>
    <row r="13" spans="1:25" x14ac:dyDescent="0.25">
      <c r="A13" s="1" t="s">
        <v>11</v>
      </c>
      <c r="B13" s="4">
        <f>res_share_region_target*'LEAP Scenario'!B13</f>
        <v>12.680744186046512</v>
      </c>
      <c r="C13" s="4">
        <f>res_share_region_target*'LEAP Scenario'!C13</f>
        <v>11.252418604651163</v>
      </c>
      <c r="D13" s="4">
        <f>res_share_region_target*'LEAP Scenario'!D13</f>
        <v>10.102790697674418</v>
      </c>
      <c r="E13" s="5">
        <f>res_share_region_target*'LEAP Scenario'!E13</f>
        <v>9.0228372093023257</v>
      </c>
      <c r="G13" s="1" t="s">
        <v>11</v>
      </c>
      <c r="H13" s="4">
        <f>res_share_region_target*'LEAP Scenario'!H13</f>
        <v>11.008558139534884</v>
      </c>
      <c r="I13" s="4">
        <f>res_share_region_target*'LEAP Scenario'!I13</f>
        <v>12.29753488372093</v>
      </c>
      <c r="J13" s="4">
        <f>res_share_region_target*'LEAP Scenario'!J13</f>
        <v>11.04339534883721</v>
      </c>
      <c r="K13" s="5">
        <f>res_share_region_target*'LEAP Scenario'!K13</f>
        <v>10.311813953488372</v>
      </c>
      <c r="L13" s="21"/>
      <c r="N13" s="21"/>
      <c r="O13" s="21"/>
      <c r="P13" s="21"/>
      <c r="Q13" s="21"/>
      <c r="T13" s="21"/>
      <c r="U13" s="21"/>
      <c r="V13" s="21"/>
      <c r="W13" s="21"/>
    </row>
    <row r="14" spans="1:25" x14ac:dyDescent="0.25">
      <c r="A14" s="7" t="s">
        <v>12</v>
      </c>
      <c r="B14" s="8">
        <f>SUM(B4:B13)</f>
        <v>177.21688372093024</v>
      </c>
      <c r="C14" s="8">
        <f>SUM(C4:C13)</f>
        <v>148.58069767441859</v>
      </c>
      <c r="D14" s="8">
        <f>SUM(D4:D13)</f>
        <v>122.76632558139535</v>
      </c>
      <c r="E14" s="9">
        <f>SUM(E4:E13)</f>
        <v>83.783488372093018</v>
      </c>
      <c r="G14" s="7" t="s">
        <v>12</v>
      </c>
      <c r="H14" s="8">
        <f>SUM(H4:H13)</f>
        <v>172.65320930232559</v>
      </c>
      <c r="I14" s="8">
        <f>SUM(I4:I13)</f>
        <v>140.95134883720931</v>
      </c>
      <c r="J14" s="8">
        <f>SUM(J4:J13)</f>
        <v>106.60186046511626</v>
      </c>
      <c r="K14" s="9">
        <f>SUM(K4:K13)</f>
        <v>60.059348837209313</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101.4459534883721</v>
      </c>
      <c r="C24" s="4">
        <f>res_share_region_target*'LEAP Scenario'!C24</f>
        <v>82.564186046511637</v>
      </c>
      <c r="D24" s="4">
        <f>res_share_region_target*'LEAP Scenario'!D24</f>
        <v>70.371162790697682</v>
      </c>
      <c r="E24" s="5">
        <f>res_share_region_target*'LEAP Scenario'!E24</f>
        <v>59.083906976744188</v>
      </c>
      <c r="G24" s="1" t="s">
        <v>21</v>
      </c>
      <c r="H24" s="4">
        <f>res_share_region_target*'LEAP Scenario'!H24</f>
        <v>101.82916279069768</v>
      </c>
      <c r="I24" s="4">
        <f>res_share_region_target*'LEAP Scenario'!I24</f>
        <v>72.94911627906977</v>
      </c>
      <c r="J24" s="4">
        <f>res_share_region_target*'LEAP Scenario'!J24</f>
        <v>40.620186046511627</v>
      </c>
      <c r="K24" s="5">
        <f>res_share_region_target*'LEAP Scenario'!K24</f>
        <v>3.1701860465116281</v>
      </c>
    </row>
    <row r="25" spans="1:16" x14ac:dyDescent="0.25">
      <c r="A25" s="1" t="s">
        <v>22</v>
      </c>
      <c r="B25" s="4">
        <f>res_share_region_target*'LEAP Scenario'!B25</f>
        <v>13.760697674418605</v>
      </c>
      <c r="C25" s="4">
        <f>res_share_region_target*'LEAP Scenario'!C25</f>
        <v>11.113069767441861</v>
      </c>
      <c r="D25" s="4">
        <f>res_share_region_target*'LEAP Scenario'!D25</f>
        <v>9.4060465116279079</v>
      </c>
      <c r="E25" s="5">
        <f>res_share_region_target*'LEAP Scenario'!E25</f>
        <v>7.8035348837209302</v>
      </c>
      <c r="G25" s="1" t="s">
        <v>22</v>
      </c>
      <c r="H25" s="4">
        <f>res_share_region_target*'LEAP Scenario'!H25</f>
        <v>13.586511627906978</v>
      </c>
      <c r="I25" s="4">
        <f>res_share_region_target*'LEAP Scenario'!I25</f>
        <v>9.0576744186046518</v>
      </c>
      <c r="J25" s="4">
        <f>res_share_region_target*'LEAP Scenario'!J25</f>
        <v>4.9120465116279073</v>
      </c>
      <c r="K25" s="5">
        <f>res_share_region_target*'LEAP Scenario'!K25</f>
        <v>0.55739534883720931</v>
      </c>
    </row>
    <row r="26" spans="1:16" x14ac:dyDescent="0.25">
      <c r="A26" s="1" t="s">
        <v>23</v>
      </c>
      <c r="B26" s="4">
        <f>res_share_region_target*'LEAP Scenario'!B26</f>
        <v>0.10451162790697674</v>
      </c>
      <c r="C26" s="4">
        <f>res_share_region_target*'LEAP Scenario'!C26</f>
        <v>0.31353488372093025</v>
      </c>
      <c r="D26" s="4">
        <f>res_share_region_target*'LEAP Scenario'!D26</f>
        <v>0.48772093023255814</v>
      </c>
      <c r="E26" s="5">
        <f>res_share_region_target*'LEAP Scenario'!E26</f>
        <v>0.73158139534883726</v>
      </c>
      <c r="G26" s="1" t="s">
        <v>23</v>
      </c>
      <c r="H26" s="4">
        <f>res_share_region_target*'LEAP Scenario'!H26</f>
        <v>0.10451162790697674</v>
      </c>
      <c r="I26" s="4">
        <f>res_share_region_target*'LEAP Scenario'!I26</f>
        <v>2.8566511627906976</v>
      </c>
      <c r="J26" s="4">
        <f>res_share_region_target*'LEAP Scenario'!J26</f>
        <v>8.2912558139534891</v>
      </c>
      <c r="K26" s="5">
        <f>res_share_region_target*'LEAP Scenario'!K26</f>
        <v>16.059953488372095</v>
      </c>
    </row>
    <row r="27" spans="1:16" x14ac:dyDescent="0.25">
      <c r="A27" s="1" t="s">
        <v>20</v>
      </c>
      <c r="B27" s="4">
        <f>res_share_region_target*'LEAP Scenario'!B27</f>
        <v>3.6927441860465118</v>
      </c>
      <c r="C27" s="4">
        <f>res_share_region_target*'LEAP Scenario'!C27</f>
        <v>3.483720930232558</v>
      </c>
      <c r="D27" s="4">
        <f>res_share_region_target*'LEAP Scenario'!D27</f>
        <v>3.4140465116279071</v>
      </c>
      <c r="E27" s="5">
        <f>res_share_region_target*'LEAP Scenario'!E27</f>
        <v>3.3792093023255814</v>
      </c>
      <c r="G27" s="1" t="s">
        <v>20</v>
      </c>
      <c r="H27" s="4">
        <f>res_share_region_target*'LEAP Scenario'!H27</f>
        <v>3.4140465116279071</v>
      </c>
      <c r="I27" s="4">
        <f>res_share_region_target*'LEAP Scenario'!I27</f>
        <v>2.1250697674418606</v>
      </c>
      <c r="J27" s="4">
        <f>res_share_region_target*'LEAP Scenario'!J27</f>
        <v>1.1496279069767441</v>
      </c>
      <c r="K27" s="5">
        <f>res_share_region_target*'LEAP Scenario'!K27</f>
        <v>3.4837209302325582E-2</v>
      </c>
    </row>
    <row r="28" spans="1:16" x14ac:dyDescent="0.25">
      <c r="A28" s="1" t="s">
        <v>18</v>
      </c>
      <c r="B28" s="4">
        <f>res_share_region_target*'LEAP Scenario'!B28</f>
        <v>3.4837209302325582E-2</v>
      </c>
      <c r="C28" s="4">
        <f>res_share_region_target*'LEAP Scenario'!C28</f>
        <v>3.4837209302325582E-2</v>
      </c>
      <c r="D28" s="4">
        <f>res_share_region_target*'LEAP Scenario'!D28</f>
        <v>3.4837209302325582E-2</v>
      </c>
      <c r="E28" s="5">
        <f>res_share_region_target*'LEAP Scenario'!E28</f>
        <v>0</v>
      </c>
      <c r="G28" s="1" t="s">
        <v>18</v>
      </c>
      <c r="H28" s="4">
        <f>res_share_region_target*'LEAP Scenario'!H28</f>
        <v>0.27869767441860466</v>
      </c>
      <c r="I28" s="4">
        <f>res_share_region_target*'LEAP Scenario'!I28</f>
        <v>1.3238139534883722</v>
      </c>
      <c r="J28" s="4">
        <f>res_share_region_target*'LEAP Scenario'!J28</f>
        <v>2.1250697674418606</v>
      </c>
      <c r="K28" s="5">
        <f>res_share_region_target*'LEAP Scenario'!K28</f>
        <v>3.0308372093023257</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119.03874418604651</v>
      </c>
      <c r="C30" s="8">
        <f>SUM(C24:C29)</f>
        <v>97.509348837209316</v>
      </c>
      <c r="D30" s="8">
        <f>SUM(D24:D29)</f>
        <v>83.713813953488369</v>
      </c>
      <c r="E30" s="9">
        <f>SUM(E24:E29)</f>
        <v>70.998232558139534</v>
      </c>
      <c r="G30" s="7" t="s">
        <v>12</v>
      </c>
      <c r="H30" s="8">
        <f>SUM(H24:H29)</f>
        <v>119.21293023255814</v>
      </c>
      <c r="I30" s="8">
        <f>SUM(I24:I29)</f>
        <v>88.312325581395342</v>
      </c>
      <c r="J30" s="8">
        <f>SUM(J24:J29)</f>
        <v>57.098186046511628</v>
      </c>
      <c r="K30" s="9">
        <f>SUM(K24:K29)</f>
        <v>22.853209302325585</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0.41804651162790696</v>
      </c>
      <c r="C49" s="20">
        <f>res_share_region_target*'LEAP Scenario'!C49</f>
        <v>1.9508837209302325</v>
      </c>
      <c r="D49" s="20">
        <f>res_share_region_target*'LEAP Scenario'!D49</f>
        <v>3.0656744186046514</v>
      </c>
      <c r="E49" s="20">
        <f>res_share_region_target*'LEAP Scenario'!E49</f>
        <v>4.4939999999999998</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177216.88372093023</v>
      </c>
      <c r="J21" s="63">
        <f>'2.Heat Targets'!C24</f>
        <v>148580.6976744186</v>
      </c>
      <c r="K21" s="63">
        <f>'2.Heat Targets'!D24</f>
        <v>122766.32558139534</v>
      </c>
      <c r="L21" s="64">
        <f>'2.Heat Targets'!E24</f>
        <v>83783.488372093023</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1414.3906976744183</v>
      </c>
      <c r="J22" s="63">
        <f>'2.Heat Targets'!C25</f>
        <v>7580.5767441860471</v>
      </c>
      <c r="K22" s="63">
        <f>'2.Heat Targets'!D25</f>
        <v>14924.260465116278</v>
      </c>
      <c r="L22" s="64">
        <f>'2.Heat Targets'!E25</f>
        <v>15986.795348837208</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172653.20930232559</v>
      </c>
      <c r="J23" s="63">
        <f>'2.Heat Targets'!C26</f>
        <v>140951.34883720931</v>
      </c>
      <c r="K23" s="63">
        <f>'2.Heat Targets'!D26</f>
        <v>106601.86046511626</v>
      </c>
      <c r="L23" s="64">
        <f>'2.Heat Targets'!E26</f>
        <v>60059.348837209312</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1902.111627906977</v>
      </c>
      <c r="J24" s="63">
        <f>'2.Heat Targets'!C27</f>
        <v>8695.3674418604678</v>
      </c>
      <c r="K24" s="63">
        <f>'2.Heat Targets'!D27</f>
        <v>19752.697674418607</v>
      </c>
      <c r="L24" s="64">
        <f>'2.Heat Targets'!E27</f>
        <v>27591.069767441862</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4075.953488372083</v>
      </c>
      <c r="J25" s="63">
        <f>'2.Heat Targets'!C28</f>
        <v>6514.5581395348672</v>
      </c>
      <c r="K25" s="63">
        <f>'2.Heat Targets'!D28</f>
        <v>11336.02790697676</v>
      </c>
      <c r="L25" s="64">
        <f>'2.Heat Targets'!E28</f>
        <v>12119.865116279048</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37.1875</v>
      </c>
      <c r="J26" s="308">
        <f>'2.Heat Targets'!C29</f>
        <v>0</v>
      </c>
      <c r="K26" s="308">
        <f>'2.Heat Targets'!D29</f>
        <v>0</v>
      </c>
      <c r="L26" s="308">
        <f>'2.Heat Targets'!E29</f>
        <v>0</v>
      </c>
      <c r="O26" s="308">
        <f>'2.Heat Targets'!B29</f>
        <v>37.1875</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109.60547195622408</v>
      </c>
      <c r="J27" s="63">
        <f>'2.Heat Targets'!C30</f>
        <v>175.18139534883676</v>
      </c>
      <c r="K27" s="63">
        <f>'2.Heat Targets'!D30</f>
        <v>304.83436388508937</v>
      </c>
      <c r="L27" s="64">
        <f>'2.Heat Targets'!E30</f>
        <v>325.91233926128535</v>
      </c>
      <c r="O27" s="62">
        <f>O25/$O$26</f>
        <v>273.6369699278689</v>
      </c>
      <c r="P27" s="63">
        <f>P25/$O$26</f>
        <v>1185.1099388727137</v>
      </c>
      <c r="Q27" s="63">
        <f>Q25/$O$26</f>
        <v>1786.8425995593414</v>
      </c>
      <c r="R27" s="64">
        <f>R25/$O$26</f>
        <v>3805.8771114894712</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891</v>
      </c>
      <c r="J28" s="203">
        <f>'2.Heat Targets'!C31</f>
        <v>944.46</v>
      </c>
      <c r="K28" s="203">
        <f>'2.Heat Targets'!D31</f>
        <v>1001.1276000000001</v>
      </c>
      <c r="L28" s="203">
        <f>'2.Heat Targets'!E31</f>
        <v>1061.1952560000002</v>
      </c>
      <c r="O28" s="203">
        <f>'2.Heat Targets'!B31</f>
        <v>891</v>
      </c>
      <c r="P28" s="203">
        <f>'2.Heat Targets'!C31</f>
        <v>944.46</v>
      </c>
      <c r="Q28" s="203">
        <f>'2.Heat Targets'!D31</f>
        <v>1001.1276000000001</v>
      </c>
      <c r="R28" s="203">
        <f>'2.Heat Targets'!E31</f>
        <v>1061.1952560000002</v>
      </c>
      <c r="T28" t="str">
        <f>'2.Heat Targets'!G31</f>
        <v>Enter a projection of the number of future residences in the area by each year.</v>
      </c>
    </row>
    <row r="29" spans="8:20" x14ac:dyDescent="0.25">
      <c r="I29" s="86">
        <f>'2.Heat Targets'!B32</f>
        <v>0.12301399770619986</v>
      </c>
      <c r="J29" s="87">
        <f>'2.Heat Targets'!C32</f>
        <v>0.1854831282943023</v>
      </c>
      <c r="K29" s="87">
        <f>'2.Heat Targets'!D32</f>
        <v>0.30449101981115029</v>
      </c>
      <c r="L29" s="88">
        <f>'2.Heat Targets'!E32</f>
        <v>0.30711816455885599</v>
      </c>
      <c r="O29" s="104">
        <f>O27/O28</f>
        <v>0.30711219969457787</v>
      </c>
      <c r="P29" s="105">
        <f>P27/P28</f>
        <v>1.2548016208973525</v>
      </c>
      <c r="Q29" s="105">
        <f>Q27/Q28</f>
        <v>1.7848300252228997</v>
      </c>
      <c r="R29" s="106">
        <f>R27/R28</f>
        <v>3.5864060736900529</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148.75</v>
      </c>
      <c r="J34" s="94">
        <f>'2.Heat Targets'!C54</f>
        <v>141.85234616655563</v>
      </c>
      <c r="K34" s="94">
        <f>'2.Heat Targets'!D54</f>
        <v>137.42674020077285</v>
      </c>
      <c r="L34" s="95">
        <f>'2.Heat Targets'!E54</f>
        <v>137.32904325546752</v>
      </c>
      <c r="O34" s="107">
        <f>'1.Current Heat'!B10</f>
        <v>148.75</v>
      </c>
      <c r="P34" s="108">
        <f>P29*($O$34-$O$26)+(1-P29)*$O$34</f>
        <v>102.08706472287969</v>
      </c>
      <c r="Q34" s="108">
        <f>Q29*($O$34-$O$26)+(1-Q29)*$O$34</f>
        <v>82.376633437023415</v>
      </c>
      <c r="R34" s="110">
        <f>R29*($O$34-$O$26)+(1-R29)*$O$34</f>
        <v>15.380524134651125</v>
      </c>
      <c r="T34" t="str">
        <f>'2.Heat Targets'!G54</f>
        <v>This is a projection of the average area residential heating load, in millions of Btu, computed based on values inputted above and in the "1.Current Heat" tab</v>
      </c>
    </row>
    <row r="35" spans="9:20" x14ac:dyDescent="0.25">
      <c r="I35" s="81">
        <f>'2.Heat Targets'!B55</f>
        <v>63682.418604651168</v>
      </c>
      <c r="J35" s="82">
        <f>'2.Heat Targets'!C55</f>
        <v>46228.976744186039</v>
      </c>
      <c r="K35" s="82">
        <f>'2.Heat Targets'!D55</f>
        <v>29402.60465116279</v>
      </c>
      <c r="L35" s="83">
        <f>'2.Heat Targets'!E55</f>
        <v>4424.3255813953492</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3.7678975131876423E-2</v>
      </c>
      <c r="K36" s="97">
        <f>'2.Heat Targets'!D56</f>
        <v>9.7156398104265393E-2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428.11709986320113</v>
      </c>
      <c r="J37" s="63">
        <f>'2.Heat Targets'!C57</f>
        <v>325.89504504850686</v>
      </c>
      <c r="K37" s="63">
        <f>'2.Heat Targets'!D57</f>
        <v>213.95111757877115</v>
      </c>
      <c r="L37" s="64">
        <f>'2.Heat Targets'!E57</f>
        <v>32.21696937890232</v>
      </c>
      <c r="O37" s="62">
        <f>O35/O34</f>
        <v>1875.2491550392922</v>
      </c>
      <c r="P37" s="62">
        <f>P35/P34</f>
        <v>2084.7371302314559</v>
      </c>
      <c r="Q37" s="62">
        <f>Q35/Q34</f>
        <v>1815.3302867045293</v>
      </c>
      <c r="R37" s="112">
        <f>R35/R34</f>
        <v>3202.5134672021459</v>
      </c>
      <c r="T37" t="str">
        <f>'2.Heat Targets'!G57</f>
        <v>This formula computes an estimate the number of residences using biofuel-blended heat energy in the 90x50 scenario based on values inputted in the "1.Current Heat" tab.</v>
      </c>
    </row>
    <row r="38" spans="9:20" x14ac:dyDescent="0.25">
      <c r="I38" s="65">
        <f>'2.Heat Targets'!B58</f>
        <v>0.48049057223703828</v>
      </c>
      <c r="J38" s="66">
        <f>'2.Heat Targets'!C58</f>
        <v>0.34505965848051462</v>
      </c>
      <c r="K38" s="66">
        <f>'2.Heat Targets'!D58</f>
        <v>0.21371013802713174</v>
      </c>
      <c r="L38" s="67">
        <f>'2.Heat Targets'!E58</f>
        <v>3.0359134378661709E-2</v>
      </c>
      <c r="O38" s="109">
        <f>O37/O28</f>
        <v>2.1046567396625053</v>
      </c>
      <c r="P38" s="109">
        <f>P37/P28</f>
        <v>2.2073323700648579</v>
      </c>
      <c r="Q38" s="109">
        <f>Q37/Q28</f>
        <v>1.8132856258328398</v>
      </c>
      <c r="R38" s="113">
        <f>R37/R28</f>
        <v>3.0178362078940024</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75770.930232558138</v>
      </c>
      <c r="J39" s="82">
        <f>'2.Heat Targets'!C59</f>
        <v>63508.232558139534</v>
      </c>
      <c r="K39" s="82">
        <f>'2.Heat Targets'!D59</f>
        <v>50339.767441860466</v>
      </c>
      <c r="L39" s="83">
        <f>'2.Heat Targets'!E59</f>
        <v>36439.72093023255</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509.38440492476059</v>
      </c>
      <c r="J40" s="63">
        <f>'2.Heat Targets'!C60</f>
        <v>447.70660672451254</v>
      </c>
      <c r="K40" s="63">
        <f>'2.Heat Targets'!D60</f>
        <v>366.30256504896249</v>
      </c>
      <c r="L40" s="64">
        <f>'2.Heat Targets'!E60</f>
        <v>265.3460627585182</v>
      </c>
      <c r="O40" s="62">
        <f>O39/O34</f>
        <v>1259.1687987064395</v>
      </c>
      <c r="P40" s="62">
        <f>P39/P34</f>
        <v>1894.8850593704044</v>
      </c>
      <c r="Q40" s="62">
        <f>Q39/Q34</f>
        <v>2369.10635418946</v>
      </c>
      <c r="R40" s="112">
        <f>R39/R34</f>
        <v>12974.868793211926</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0.57169966882689183</v>
      </c>
      <c r="J41" s="66">
        <f>'2.Heat Targets'!C61</f>
        <v>0.47403448184625346</v>
      </c>
      <c r="K41" s="66">
        <f>'2.Heat Targets'!D61</f>
        <v>0.36588998749905849</v>
      </c>
      <c r="L41" s="67">
        <f>'2.Heat Targets'!E61</f>
        <v>0.25004452409511918</v>
      </c>
      <c r="O41" s="109">
        <f>O40/O28</f>
        <v>1.4132085282900555</v>
      </c>
      <c r="P41" s="109">
        <f>P40/P28</f>
        <v>2.0063158411901028</v>
      </c>
      <c r="Q41" s="109">
        <f>Q40/Q28</f>
        <v>2.3664379587471762</v>
      </c>
      <c r="R41" s="113">
        <f>R40/R28</f>
        <v>12.226655481026693</v>
      </c>
      <c r="T41" t="str">
        <f>'2.Heat Targets'!G61</f>
        <v>This formula computes the estimated share of area residences using Wood heat  in the 90x50 scenario, based on values inputted in the "1.Current Heat" tab.</v>
      </c>
    </row>
    <row r="42" spans="9:20" x14ac:dyDescent="0.25">
      <c r="I42" s="81">
        <f>'2.Heat Targets'!B62</f>
        <v>1358.6511627906978</v>
      </c>
      <c r="J42" s="82">
        <f>'2.Heat Targets'!C62</f>
        <v>5434.604651162791</v>
      </c>
      <c r="K42" s="82">
        <f>'2.Heat Targets'!D62</f>
        <v>10973.720930232559</v>
      </c>
      <c r="L42" s="83">
        <f>'2.Heat Targets'!E62</f>
        <v>13795.534883720931</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31.315849130349811</v>
      </c>
      <c r="J43" s="63">
        <f>'2.Heat Targets'!C63</f>
        <v>132.81389627899969</v>
      </c>
      <c r="K43" s="63">
        <f>'2.Heat Targets'!D63</f>
        <v>279.47998475189007</v>
      </c>
      <c r="L43" s="64">
        <f>'2.Heat Targets'!E63</f>
        <v>354.55080706008289</v>
      </c>
      <c r="O43" s="62">
        <f>O42/((0.7*O34)/2.4)</f>
        <v>139.84646093740631</v>
      </c>
      <c r="P43" s="112">
        <f>P42/((0.75*P34)/2.6)</f>
        <v>963.02724850762911</v>
      </c>
      <c r="Q43" s="112">
        <f>Q42/((0.8*Q34)/2.8)</f>
        <v>2805.5255658077012</v>
      </c>
      <c r="R43" s="64">
        <f>R42/((0.85*R34)/3)</f>
        <v>22844.17368580043</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3.5146856487485757E-2</v>
      </c>
      <c r="J44" s="66">
        <f>'2.Heat Targets'!C64</f>
        <v>0.14062416225038613</v>
      </c>
      <c r="K44" s="66">
        <f>'2.Heat Targets'!D64</f>
        <v>0.27916519807454115</v>
      </c>
      <c r="L44" s="67">
        <f>'2.Heat Targets'!E64</f>
        <v>0.33410515647846323</v>
      </c>
      <c r="O44" s="109">
        <f>O43/O28</f>
        <v>0.15695450161325061</v>
      </c>
      <c r="P44" s="109">
        <f>P43/P28</f>
        <v>1.0196591157991117</v>
      </c>
      <c r="Q44" s="109">
        <f>Q43/Q28</f>
        <v>2.8023656183364647</v>
      </c>
      <c r="R44" s="113">
        <f>R43/R28</f>
        <v>21.52683359319543</v>
      </c>
      <c r="T44" t="str">
        <f>'2.Heat Targets'!G64</f>
        <v>This formula computes the estimated share of area residences using Heat Pumps in the 90x50 scenario based on values inputted above and in the "1.Current Heat" tab.</v>
      </c>
    </row>
    <row r="45" spans="9:20" x14ac:dyDescent="0.25">
      <c r="I45" s="81">
        <f>'2.Heat Targets'!B65</f>
        <v>24629.906976744187</v>
      </c>
      <c r="J45" s="82">
        <f>'2.Heat Targets'!C65</f>
        <v>19264.976744186046</v>
      </c>
      <c r="K45" s="82">
        <f>'2.Heat Targets'!D65</f>
        <v>12332.372093023256</v>
      </c>
      <c r="L45" s="83">
        <f>'2.Heat Targets'!E65</f>
        <v>4319.813953488373</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165.57920656634747</v>
      </c>
      <c r="J46" s="63">
        <f>'2.Heat Targets'!C66</f>
        <v>135.81006775570785</v>
      </c>
      <c r="K46" s="63">
        <f>'2.Heat Targets'!D66</f>
        <v>89.737791022375575</v>
      </c>
      <c r="L46" s="64">
        <f>'2.Heat Targets'!E66</f>
        <v>31.455938606172346</v>
      </c>
      <c r="O46" s="62">
        <f>O45/O34</f>
        <v>1593.5052150619906</v>
      </c>
      <c r="P46" s="62">
        <f>P45/P34</f>
        <v>1831.3175642324702</v>
      </c>
      <c r="Q46" s="62">
        <f>Q45/Q34</f>
        <v>1430.9417822371433</v>
      </c>
      <c r="R46" s="112">
        <f>R45/R34</f>
        <v>1945.6571314439977</v>
      </c>
      <c r="T46" t="str">
        <f>'2.Heat Targets'!G66</f>
        <v>This formula computes the estimates number of area residences using fossil heat in the 90x50 scenario based on values inputted in the "1.Current Heat" tab.</v>
      </c>
    </row>
    <row r="47" spans="9:20" x14ac:dyDescent="0.25">
      <c r="I47" s="65">
        <f>'2.Heat Targets'!B67</f>
        <v>0.18583524867154597</v>
      </c>
      <c r="J47" s="66">
        <f>'2.Heat Targets'!C67</f>
        <v>0.14379652685736594</v>
      </c>
      <c r="K47" s="66">
        <f>'2.Heat Targets'!D67</f>
        <v>8.9636716660668997E-2</v>
      </c>
      <c r="L47" s="67">
        <f>'2.Heat Targets'!E67</f>
        <v>2.9641989472079151E-2</v>
      </c>
      <c r="O47" s="109">
        <f>O46/O28</f>
        <v>1.7884458081503822</v>
      </c>
      <c r="P47" s="109">
        <f>P46/P28</f>
        <v>1.9390101901959533</v>
      </c>
      <c r="Q47" s="109">
        <f>Q46/Q28</f>
        <v>1.4293300696506051</v>
      </c>
      <c r="R47" s="113">
        <f>R46/R28</f>
        <v>1.833458188248815</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topLeftCell="A7" workbookViewId="0">
      <selection activeCell="M12" sqref="M12"/>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8" t="s">
        <v>492</v>
      </c>
      <c r="C3" s="239"/>
      <c r="D3" s="239"/>
      <c r="E3" s="239"/>
      <c r="F3" s="239"/>
      <c r="G3" s="239"/>
      <c r="H3" s="239"/>
      <c r="I3" s="239"/>
      <c r="J3" s="239"/>
      <c r="K3" s="240"/>
      <c r="O3" t="s">
        <v>213</v>
      </c>
    </row>
    <row r="4" spans="2:15" x14ac:dyDescent="0.25">
      <c r="B4" s="101"/>
      <c r="C4" s="241" t="s">
        <v>493</v>
      </c>
      <c r="D4" s="241"/>
      <c r="E4" s="241"/>
      <c r="F4" s="241"/>
      <c r="G4" s="241"/>
      <c r="H4" s="241"/>
      <c r="I4" s="241"/>
      <c r="J4" s="241"/>
      <c r="K4" s="244"/>
      <c r="O4" t="s">
        <v>246</v>
      </c>
    </row>
    <row r="5" spans="2:15" x14ac:dyDescent="0.25">
      <c r="B5" s="101"/>
      <c r="C5" s="241" t="s">
        <v>155</v>
      </c>
      <c r="D5" s="241"/>
      <c r="E5" s="241"/>
      <c r="F5" s="241"/>
      <c r="G5" s="241"/>
      <c r="H5" s="241"/>
      <c r="I5" s="241"/>
      <c r="J5" s="241"/>
      <c r="K5" s="244"/>
      <c r="O5" t="s">
        <v>285</v>
      </c>
    </row>
    <row r="6" spans="2:15" x14ac:dyDescent="0.25">
      <c r="B6" s="101"/>
      <c r="C6" s="102"/>
      <c r="D6" s="241" t="s">
        <v>153</v>
      </c>
      <c r="E6" s="241"/>
      <c r="F6" s="241"/>
      <c r="G6" s="241"/>
      <c r="H6" s="241"/>
      <c r="I6" s="241"/>
      <c r="J6" s="241"/>
      <c r="K6" s="244"/>
      <c r="O6" t="s">
        <v>290</v>
      </c>
    </row>
    <row r="7" spans="2:15" x14ac:dyDescent="0.25">
      <c r="B7" s="101"/>
      <c r="C7" s="102"/>
      <c r="D7" s="241" t="s">
        <v>154</v>
      </c>
      <c r="E7" s="241"/>
      <c r="F7" s="241"/>
      <c r="G7" s="241"/>
      <c r="H7" s="241"/>
      <c r="I7" s="241"/>
      <c r="J7" s="241"/>
      <c r="K7" s="244"/>
      <c r="O7" t="s">
        <v>323</v>
      </c>
    </row>
    <row r="8" spans="2:15" x14ac:dyDescent="0.25">
      <c r="B8" s="101"/>
      <c r="C8" s="102"/>
      <c r="D8" s="242" t="s">
        <v>156</v>
      </c>
      <c r="E8" s="242"/>
      <c r="F8" s="242"/>
      <c r="G8" s="242"/>
      <c r="H8" s="242"/>
      <c r="I8" s="242"/>
      <c r="J8" s="242"/>
      <c r="K8" s="243"/>
      <c r="O8" t="s">
        <v>324</v>
      </c>
    </row>
    <row r="9" spans="2:15" x14ac:dyDescent="0.25">
      <c r="B9" s="101"/>
      <c r="C9" s="102"/>
      <c r="D9" s="102"/>
      <c r="E9" s="102"/>
      <c r="F9" s="102"/>
      <c r="G9" s="102"/>
      <c r="H9" s="102"/>
      <c r="I9" s="102"/>
      <c r="J9" s="102"/>
      <c r="K9" s="103"/>
      <c r="O9" t="s">
        <v>397</v>
      </c>
    </row>
    <row r="10" spans="2:15" ht="15" customHeight="1" x14ac:dyDescent="0.25">
      <c r="B10" s="245" t="s">
        <v>468</v>
      </c>
      <c r="C10" s="246"/>
      <c r="D10" s="246"/>
      <c r="E10" s="246"/>
      <c r="F10" s="246"/>
      <c r="G10" s="246"/>
      <c r="H10" s="246"/>
      <c r="I10" s="247" t="s">
        <v>268</v>
      </c>
      <c r="J10" s="247"/>
      <c r="K10" s="247"/>
      <c r="O10" t="s">
        <v>431</v>
      </c>
    </row>
    <row r="11" spans="2:15" ht="15" customHeight="1" x14ac:dyDescent="0.25">
      <c r="B11" s="245" t="s">
        <v>469</v>
      </c>
      <c r="C11" s="246"/>
      <c r="D11" s="246"/>
      <c r="E11" s="246"/>
      <c r="F11" s="246"/>
      <c r="G11" s="246"/>
      <c r="H11" s="252"/>
      <c r="I11" s="248">
        <f>INDEX(town_population[Pop Share of State],MATCH(I10,town_population[Municipality]))</f>
        <v>3.5874052857950245E-3</v>
      </c>
      <c r="J11" s="249"/>
      <c r="K11" s="250"/>
      <c r="O11" t="s">
        <v>433</v>
      </c>
    </row>
    <row r="12" spans="2:15" ht="15" customHeight="1" x14ac:dyDescent="0.25">
      <c r="B12" s="204" t="s">
        <v>507</v>
      </c>
      <c r="C12" s="205"/>
      <c r="D12" s="205"/>
      <c r="E12" s="205"/>
      <c r="F12" s="205"/>
      <c r="G12" s="205"/>
      <c r="H12" s="205"/>
      <c r="I12" s="248">
        <f>INDEX(town_population[Pop Share of Region],MATCH(I10,town_population[Municipality],0))</f>
        <v>3.4837209302325582E-2</v>
      </c>
      <c r="J12" s="249"/>
      <c r="K12" s="250"/>
    </row>
    <row r="13" spans="2:15" ht="15" customHeight="1" x14ac:dyDescent="0.25">
      <c r="B13" s="262" t="s">
        <v>499</v>
      </c>
      <c r="C13" s="263"/>
      <c r="D13" s="263"/>
      <c r="E13" s="263"/>
      <c r="F13" s="263"/>
      <c r="G13" s="263"/>
      <c r="H13" s="263"/>
      <c r="I13" s="263"/>
      <c r="J13" s="263"/>
      <c r="K13" s="264"/>
    </row>
    <row r="14" spans="2:15" ht="15" customHeight="1" x14ac:dyDescent="0.25">
      <c r="B14" s="206" t="s">
        <v>513</v>
      </c>
      <c r="C14" s="207"/>
      <c r="D14" s="207"/>
      <c r="E14" s="207"/>
      <c r="F14" s="207"/>
      <c r="G14" s="207"/>
      <c r="H14" s="207"/>
      <c r="I14" s="259">
        <f>INDEX(town_establishments[share of state establishments],MATCH(I10,town_establishments[Municipality],0))</f>
        <v>2.3106816510870707E-3</v>
      </c>
      <c r="J14" s="260"/>
      <c r="K14" s="261"/>
    </row>
    <row r="15" spans="2:15" ht="15" customHeight="1" x14ac:dyDescent="0.25">
      <c r="B15" s="206" t="s">
        <v>514</v>
      </c>
      <c r="C15" s="207"/>
      <c r="D15" s="207"/>
      <c r="E15" s="207"/>
      <c r="F15" s="207"/>
      <c r="G15" s="207"/>
      <c r="H15" s="207"/>
      <c r="I15" s="248">
        <f>INDEX(town_establishments[share of regional establishments],MATCH(I10,town_establishments[Municipality],0))</f>
        <v>3.0157642220699107E-2</v>
      </c>
      <c r="J15" s="249"/>
      <c r="K15" s="250"/>
    </row>
    <row r="16" spans="2:15" ht="15" customHeight="1" x14ac:dyDescent="0.25">
      <c r="B16" s="262" t="s">
        <v>499</v>
      </c>
      <c r="C16" s="263"/>
      <c r="D16" s="263"/>
      <c r="E16" s="263"/>
      <c r="F16" s="263"/>
      <c r="G16" s="263"/>
      <c r="H16" s="263"/>
      <c r="I16" s="263"/>
      <c r="J16" s="263"/>
      <c r="K16" s="26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41" t="s">
        <v>157</v>
      </c>
      <c r="D20" s="241"/>
      <c r="E20" s="241"/>
      <c r="F20" s="241"/>
      <c r="G20" s="241"/>
      <c r="H20" s="241"/>
      <c r="I20" s="201" t="s">
        <v>497</v>
      </c>
      <c r="J20" s="102"/>
      <c r="K20" s="103"/>
    </row>
    <row r="21" spans="1:15" ht="15" customHeight="1" x14ac:dyDescent="0.25">
      <c r="B21" s="101"/>
      <c r="C21" s="241" t="s">
        <v>495</v>
      </c>
      <c r="D21" s="241"/>
      <c r="E21" s="241"/>
      <c r="F21" s="241"/>
      <c r="G21" s="241"/>
      <c r="H21" s="25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53" t="s">
        <v>501</v>
      </c>
      <c r="C23" s="254"/>
      <c r="D23" s="254"/>
      <c r="E23" s="254"/>
      <c r="F23" s="254"/>
      <c r="G23" s="254"/>
      <c r="H23" s="254"/>
      <c r="I23" s="254"/>
      <c r="J23" s="254"/>
      <c r="K23" s="255"/>
      <c r="O23" s="100"/>
    </row>
    <row r="24" spans="1:15" s="177" customFormat="1" x14ac:dyDescent="0.25">
      <c r="A24" s="199"/>
      <c r="B24" s="253"/>
      <c r="C24" s="254"/>
      <c r="D24" s="254"/>
      <c r="E24" s="254"/>
      <c r="F24" s="254"/>
      <c r="G24" s="254"/>
      <c r="H24" s="254"/>
      <c r="I24" s="254"/>
      <c r="J24" s="254"/>
      <c r="K24" s="255"/>
      <c r="O24" s="100"/>
    </row>
    <row r="25" spans="1:15" x14ac:dyDescent="0.25">
      <c r="B25" s="256"/>
      <c r="C25" s="257"/>
      <c r="D25" s="257"/>
      <c r="E25" s="257"/>
      <c r="F25" s="257"/>
      <c r="G25" s="257"/>
      <c r="H25" s="257"/>
      <c r="I25" s="257"/>
      <c r="J25" s="257"/>
      <c r="K25" s="25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K27" sqref="K27"/>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137811.50561287877</v>
      </c>
      <c r="C5" s="269"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1835</v>
      </c>
      <c r="C9" s="270" t="s">
        <v>483</v>
      </c>
      <c r="D9" s="266"/>
      <c r="E9" s="266"/>
      <c r="F9" s="266"/>
      <c r="G9" s="266"/>
      <c r="H9" s="266"/>
      <c r="I9" s="266"/>
      <c r="J9" s="266"/>
      <c r="K9" s="266"/>
      <c r="L9" s="266"/>
      <c r="M9" s="266"/>
      <c r="N9" s="266"/>
    </row>
    <row r="10" spans="1:16" ht="36" customHeight="1" x14ac:dyDescent="0.25">
      <c r="B10" s="21"/>
      <c r="C10" s="31"/>
      <c r="D10" s="125" t="s">
        <v>60</v>
      </c>
      <c r="E10" s="271" t="s">
        <v>64</v>
      </c>
      <c r="F10" s="271"/>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65"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65"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1167727.2727272727</v>
      </c>
      <c r="C18" s="267" t="s">
        <v>43</v>
      </c>
      <c r="D18" s="267"/>
      <c r="E18" s="267"/>
      <c r="F18" s="267"/>
      <c r="G18" s="267"/>
      <c r="H18" s="267"/>
      <c r="I18" s="267"/>
      <c r="J18" s="267"/>
      <c r="K18" s="267"/>
      <c r="L18" s="267"/>
      <c r="M18" s="267"/>
      <c r="N18" s="267"/>
    </row>
    <row r="19" spans="1:14" ht="36" customHeight="1" x14ac:dyDescent="0.25">
      <c r="A19" s="32">
        <v>4</v>
      </c>
      <c r="B19" s="121">
        <v>0.09</v>
      </c>
      <c r="C19" s="265" t="s">
        <v>486</v>
      </c>
      <c r="D19" s="266"/>
      <c r="E19" s="266"/>
      <c r="F19" s="266"/>
      <c r="G19" s="266"/>
      <c r="H19" s="266"/>
      <c r="I19" s="266"/>
      <c r="J19" s="266"/>
      <c r="K19" s="266"/>
      <c r="L19" s="266"/>
      <c r="M19" s="266"/>
      <c r="N19" s="266"/>
    </row>
    <row r="20" spans="1:14" ht="36" customHeight="1" x14ac:dyDescent="0.25">
      <c r="B20" s="120">
        <f>(1-B19)*B18</f>
        <v>1062631.8181818181</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128853.14032499999</v>
      </c>
      <c r="C22" s="266" t="s">
        <v>66</v>
      </c>
      <c r="D22" s="266"/>
      <c r="E22" s="266"/>
      <c r="F22" s="266"/>
      <c r="G22" s="266"/>
      <c r="H22" s="266"/>
      <c r="I22" s="266"/>
      <c r="J22" s="266"/>
      <c r="K22" s="266"/>
      <c r="L22" s="266"/>
      <c r="M22" s="266"/>
      <c r="N22" s="266"/>
    </row>
    <row r="23" spans="1:14" ht="36" customHeight="1" x14ac:dyDescent="0.25">
      <c r="B23" s="120">
        <f>B18-B20</f>
        <v>105095.45454545459</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8902.6359545454579</v>
      </c>
      <c r="C25" s="266" t="s">
        <v>69</v>
      </c>
      <c r="D25" s="266"/>
      <c r="E25" s="266"/>
      <c r="F25" s="266"/>
      <c r="G25" s="266"/>
      <c r="H25" s="266"/>
      <c r="I25" s="266"/>
      <c r="J25" s="266"/>
      <c r="K25" s="266"/>
      <c r="L25" s="266"/>
      <c r="M25" s="266"/>
      <c r="N25" s="266"/>
    </row>
    <row r="26" spans="1:14" ht="36" customHeight="1" x14ac:dyDescent="0.25">
      <c r="B26" s="122">
        <f>B22+B25</f>
        <v>137755.77627954545</v>
      </c>
      <c r="C26" s="269"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7</v>
      </c>
      <c r="C32" s="265"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16333.333333333334</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55.729333333333336</v>
      </c>
      <c r="C38" s="268"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1" sqref="B11"/>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167131.45393277163</v>
      </c>
      <c r="C4" s="269"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891</v>
      </c>
      <c r="C8" s="275" t="s">
        <v>79</v>
      </c>
      <c r="D8" s="267"/>
      <c r="E8" s="267"/>
      <c r="F8" s="267"/>
      <c r="G8" s="267"/>
      <c r="H8" s="267"/>
      <c r="I8" s="267"/>
      <c r="J8" s="267"/>
      <c r="K8" s="267"/>
      <c r="L8" s="267"/>
      <c r="M8" s="267"/>
      <c r="N8" s="267"/>
    </row>
    <row r="9" spans="1:15" ht="42.75" customHeight="1" x14ac:dyDescent="0.25">
      <c r="B9" s="56"/>
      <c r="C9" s="26"/>
      <c r="D9" s="57" t="s">
        <v>92</v>
      </c>
      <c r="E9" s="274" t="s">
        <v>64</v>
      </c>
      <c r="F9" s="274"/>
      <c r="G9" s="267" t="s">
        <v>81</v>
      </c>
      <c r="H9" s="267"/>
      <c r="I9" s="267"/>
      <c r="J9" s="267"/>
      <c r="K9" s="267"/>
      <c r="L9" s="267"/>
      <c r="M9" s="267"/>
      <c r="N9" s="267"/>
    </row>
    <row r="10" spans="1:15" ht="52.5" customHeight="1" x14ac:dyDescent="0.25">
      <c r="A10" s="54">
        <v>2</v>
      </c>
      <c r="B10" s="36">
        <v>148.75</v>
      </c>
      <c r="C10" s="279" t="s">
        <v>543</v>
      </c>
      <c r="D10" s="276"/>
      <c r="E10" s="276"/>
      <c r="F10" s="276"/>
      <c r="G10" s="276"/>
      <c r="H10" s="276"/>
      <c r="I10" s="276"/>
      <c r="J10" s="276"/>
      <c r="K10" s="276"/>
      <c r="L10" s="276"/>
      <c r="M10" s="276"/>
      <c r="N10" s="276"/>
      <c r="O10" s="212">
        <f>SUM('2.Heat Targets'!E58,'2.Heat Targets'!E61,'2.Heat Targets'!E64,'2.Heat Targets'!E67)</f>
        <v>0.64415080442432338</v>
      </c>
    </row>
    <row r="11" spans="1:15" ht="42.75" customHeight="1" x14ac:dyDescent="0.25">
      <c r="B11" s="54"/>
      <c r="C11" s="59"/>
      <c r="D11" s="33" t="s">
        <v>58</v>
      </c>
      <c r="E11" s="276" t="s">
        <v>86</v>
      </c>
      <c r="F11" s="276"/>
      <c r="G11" s="276"/>
      <c r="H11" s="276"/>
      <c r="I11" s="276"/>
      <c r="J11" s="276"/>
      <c r="K11" s="276"/>
      <c r="L11" s="276"/>
      <c r="M11" s="276"/>
      <c r="N11" s="276"/>
    </row>
    <row r="12" spans="1:15" ht="42.75" customHeight="1" x14ac:dyDescent="0.25">
      <c r="B12" s="56"/>
      <c r="C12" s="60"/>
      <c r="D12" s="34">
        <v>0.26</v>
      </c>
      <c r="E12" s="276" t="s">
        <v>83</v>
      </c>
      <c r="F12" s="276"/>
      <c r="G12" s="276"/>
      <c r="H12" s="276"/>
      <c r="I12" s="276"/>
      <c r="J12" s="276"/>
      <c r="K12" s="276"/>
      <c r="L12" s="276"/>
      <c r="M12" s="276"/>
      <c r="N12" s="276"/>
    </row>
    <row r="13" spans="1:15" ht="42.75" customHeight="1" x14ac:dyDescent="0.25">
      <c r="B13" s="56"/>
      <c r="C13" s="60"/>
      <c r="D13" s="34">
        <v>0.5</v>
      </c>
      <c r="E13" s="276" t="s">
        <v>84</v>
      </c>
      <c r="F13" s="276"/>
      <c r="G13" s="276"/>
      <c r="H13" s="276"/>
      <c r="I13" s="276"/>
      <c r="J13" s="276"/>
      <c r="K13" s="276"/>
      <c r="L13" s="276"/>
      <c r="M13" s="276"/>
      <c r="N13" s="276"/>
    </row>
    <row r="14" spans="1:15" ht="42.75" customHeight="1" x14ac:dyDescent="0.25">
      <c r="B14" s="56"/>
      <c r="C14" s="60"/>
      <c r="D14" s="34">
        <v>0.2</v>
      </c>
      <c r="E14" s="276" t="s">
        <v>85</v>
      </c>
      <c r="F14" s="276"/>
      <c r="G14" s="276"/>
      <c r="H14" s="276"/>
      <c r="I14" s="276"/>
      <c r="J14" s="276"/>
      <c r="K14" s="276"/>
      <c r="L14" s="276"/>
      <c r="M14" s="276"/>
      <c r="N14" s="276"/>
    </row>
    <row r="15" spans="1:15" ht="42.75" customHeight="1" x14ac:dyDescent="0.25">
      <c r="B15" s="56"/>
      <c r="C15" s="60"/>
      <c r="D15" s="35">
        <v>2.2999999999999998</v>
      </c>
      <c r="E15" s="276" t="s">
        <v>87</v>
      </c>
      <c r="F15" s="276"/>
      <c r="G15" s="276"/>
      <c r="H15" s="276"/>
      <c r="I15" s="276"/>
      <c r="J15" s="276"/>
      <c r="K15" s="276"/>
      <c r="L15" s="276"/>
      <c r="M15" s="276"/>
      <c r="N15" s="276"/>
    </row>
    <row r="16" spans="1:15" ht="42.75" customHeight="1" x14ac:dyDescent="0.25">
      <c r="B16" s="56"/>
      <c r="C16" s="60"/>
      <c r="D16" s="34">
        <f>(20000*1.25)/257000</f>
        <v>9.727626459143969E-2</v>
      </c>
      <c r="E16" s="276" t="s">
        <v>93</v>
      </c>
      <c r="F16" s="276"/>
      <c r="G16" s="276"/>
      <c r="H16" s="276"/>
      <c r="I16" s="276"/>
      <c r="J16" s="276"/>
      <c r="K16" s="276"/>
      <c r="L16" s="276"/>
      <c r="M16" s="276"/>
      <c r="N16" s="276"/>
    </row>
    <row r="17" spans="1:17" x14ac:dyDescent="0.25">
      <c r="B17" s="56"/>
      <c r="C17" s="27"/>
      <c r="F17" s="26"/>
      <c r="G17" s="27"/>
      <c r="H17" s="27"/>
      <c r="I17" s="27"/>
      <c r="J17" s="27"/>
      <c r="K17" s="27"/>
      <c r="L17" s="27"/>
    </row>
    <row r="18" spans="1:17" ht="42.75" customHeight="1" x14ac:dyDescent="0.25">
      <c r="B18" s="55">
        <f>B8*B10</f>
        <v>132536.25</v>
      </c>
      <c r="C18" s="268"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44</v>
      </c>
      <c r="C22" s="270"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786.25463483571912</v>
      </c>
      <c r="C24" s="272" t="s">
        <v>541</v>
      </c>
      <c r="D24" s="273"/>
      <c r="E24" s="273"/>
      <c r="F24" s="273"/>
      <c r="G24" s="273"/>
      <c r="H24" s="273"/>
      <c r="I24" s="273"/>
      <c r="J24" s="273"/>
      <c r="K24" s="273"/>
      <c r="L24" s="273"/>
      <c r="M24" s="273"/>
      <c r="N24" s="273"/>
      <c r="O24" s="212">
        <f ca="1">SUM('2.Heat Targets'!E76,'2.Heat Targets'!E79,'2.Heat Targets'!E82,'2.Heat Targets'!E85)</f>
        <v>0.62550762162014173</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1</v>
      </c>
      <c r="L27" s="39">
        <f t="shared" ref="L27:L40" ca="1" si="1">IF(K27="","",K27/$K$41)</f>
        <v>2.2727272727272728E-2</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5</v>
      </c>
      <c r="L28" s="41">
        <f t="shared" ca="1" si="1"/>
        <v>0.11363636363636363</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4</v>
      </c>
      <c r="L29" s="41">
        <f t="shared" ca="1" si="1"/>
        <v>9.0909090909090912E-2</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4</v>
      </c>
      <c r="L30" s="41">
        <f t="shared" ca="1" si="1"/>
        <v>9.0909090909090912E-2</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3</v>
      </c>
      <c r="L31" s="41">
        <f t="shared" ca="1" si="1"/>
        <v>6.8181818181818177E-2</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11</v>
      </c>
      <c r="L33" s="41">
        <f t="shared" ca="1" si="1"/>
        <v>0.25</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1</v>
      </c>
      <c r="L35" s="41">
        <f t="shared" ca="1" si="1"/>
        <v>2.2727272727272728E-2</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2.2727272727272728E-2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4</v>
      </c>
      <c r="L37" s="41">
        <f t="shared" ca="1" si="1"/>
        <v>9.0909090909090912E-2</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1</v>
      </c>
      <c r="L38" s="41">
        <f t="shared" ca="1" si="1"/>
        <v>2.2727272727272728E-2</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6</v>
      </c>
      <c r="L39" s="41">
        <f t="shared" ca="1" si="1"/>
        <v>0.13636363636363635</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3</v>
      </c>
      <c r="L40" s="41">
        <f t="shared" ca="1" si="1"/>
        <v>6.8181818181818177E-2</v>
      </c>
      <c r="Q40" s="23"/>
    </row>
    <row r="41" spans="2:19" ht="33" customHeight="1" x14ac:dyDescent="0.25">
      <c r="B41" s="54"/>
      <c r="D41" s="42"/>
      <c r="E41" s="185">
        <f>SUM(E27:E40)</f>
        <v>18617</v>
      </c>
      <c r="F41" s="185"/>
      <c r="G41" s="185">
        <f>SUM(G27:G40)</f>
        <v>201453</v>
      </c>
      <c r="H41" s="43"/>
      <c r="I41" s="44">
        <v>13000000</v>
      </c>
      <c r="J41" s="43"/>
      <c r="K41" s="185">
        <f ca="1">SUM(K27:K40)</f>
        <v>44</v>
      </c>
      <c r="L41" s="45">
        <f ca="1">SUMPRODUCT(J27:J40,L27:L40)</f>
        <v>786.25463483571912</v>
      </c>
      <c r="M41" s="277" t="s">
        <v>542</v>
      </c>
      <c r="N41" s="278"/>
      <c r="O41" s="278"/>
      <c r="P41" s="278"/>
      <c r="Q41" s="278"/>
      <c r="R41" s="278"/>
      <c r="S41" s="278"/>
    </row>
    <row r="42" spans="2:19" ht="22.5" customHeight="1" x14ac:dyDescent="0.25">
      <c r="B42" s="54"/>
    </row>
    <row r="43" spans="2:19" ht="37.5" customHeight="1" x14ac:dyDescent="0.25">
      <c r="B43" s="55">
        <f ca="1">B22*B24</f>
        <v>34595.203932771641</v>
      </c>
      <c r="C43" s="268" t="s">
        <v>488</v>
      </c>
      <c r="D43" s="267"/>
      <c r="E43" s="267"/>
      <c r="F43" s="267"/>
      <c r="G43" s="267"/>
      <c r="H43" s="267"/>
      <c r="I43" s="267"/>
      <c r="J43" s="267"/>
      <c r="K43" s="267"/>
      <c r="L43" s="267"/>
      <c r="M43" s="267"/>
      <c r="N43" s="267"/>
    </row>
    <row r="45" spans="2:19" ht="37.5" customHeight="1" x14ac:dyDescent="0.25">
      <c r="B45" s="194">
        <f ca="1">SUMPRODUCT(K27:K40,H27:H40)/SUMPRODUCT(E27:E40,H27:H40)</f>
        <v>2.4768604509198687E-3</v>
      </c>
      <c r="C45" s="266" t="s">
        <v>489</v>
      </c>
      <c r="D45" s="266"/>
      <c r="E45" s="266"/>
      <c r="F45" s="266"/>
      <c r="G45" s="266"/>
      <c r="H45" s="266"/>
      <c r="I45" s="266"/>
      <c r="J45" s="266"/>
      <c r="K45" s="266"/>
      <c r="L45" s="266"/>
      <c r="M45" s="266"/>
      <c r="N45" s="266"/>
      <c r="O45" s="266"/>
    </row>
    <row r="52" spans="4:4" x14ac:dyDescent="0.25">
      <c r="D52" s="23"/>
    </row>
  </sheetData>
  <mergeCells count="17">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8" t="s">
        <v>491</v>
      </c>
      <c r="C4" s="289"/>
      <c r="D4" s="289"/>
      <c r="E4" s="289"/>
      <c r="F4" s="289"/>
      <c r="G4" s="289"/>
      <c r="H4" s="289"/>
      <c r="I4" s="289"/>
      <c r="J4" s="289"/>
      <c r="K4" s="289"/>
      <c r="L4" s="289"/>
      <c r="M4" s="289"/>
      <c r="N4" s="290"/>
    </row>
    <row r="5" spans="2:15" ht="19.5" customHeight="1" x14ac:dyDescent="0.25">
      <c r="B5" s="291"/>
      <c r="C5" s="292"/>
      <c r="D5" s="292"/>
      <c r="E5" s="292"/>
      <c r="F5" s="292"/>
      <c r="G5" s="292"/>
      <c r="H5" s="292"/>
      <c r="I5" s="292"/>
      <c r="J5" s="292"/>
      <c r="K5" s="292"/>
      <c r="L5" s="292"/>
      <c r="M5" s="292"/>
      <c r="N5" s="293"/>
    </row>
    <row r="6" spans="2:15" ht="19.5" customHeight="1" x14ac:dyDescent="0.25">
      <c r="B6" s="294"/>
      <c r="C6" s="295"/>
      <c r="D6" s="295"/>
      <c r="E6" s="295"/>
      <c r="F6" s="295"/>
      <c r="G6" s="295"/>
      <c r="H6" s="295"/>
      <c r="I6" s="295"/>
      <c r="J6" s="295"/>
      <c r="K6" s="295"/>
      <c r="L6" s="295"/>
      <c r="M6" s="295"/>
      <c r="N6" s="29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7" t="s">
        <v>150</v>
      </c>
      <c r="N11" s="298"/>
      <c r="O11" s="299"/>
    </row>
    <row r="12" spans="2:15" x14ac:dyDescent="0.25">
      <c r="B12" s="1">
        <v>100</v>
      </c>
      <c r="C12" s="2" t="s">
        <v>99</v>
      </c>
      <c r="D12" s="2"/>
      <c r="E12" s="2"/>
      <c r="F12" s="2"/>
      <c r="G12" s="2"/>
      <c r="H12" s="2"/>
      <c r="I12" s="2"/>
      <c r="J12" s="2"/>
      <c r="K12" s="3"/>
      <c r="M12" s="300"/>
      <c r="N12" s="301"/>
      <c r="O12" s="30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7" t="s">
        <v>168</v>
      </c>
      <c r="N14" s="298"/>
      <c r="O14" s="299"/>
    </row>
    <row r="15" spans="2:15" x14ac:dyDescent="0.25">
      <c r="B15" s="1">
        <v>100</v>
      </c>
      <c r="C15" s="114" t="s">
        <v>164</v>
      </c>
      <c r="D15" s="2"/>
      <c r="E15" s="2"/>
      <c r="F15" s="2"/>
      <c r="G15" s="2"/>
      <c r="H15" s="2"/>
      <c r="I15" s="2"/>
      <c r="J15" s="2"/>
      <c r="K15" s="3"/>
      <c r="M15" s="300"/>
      <c r="N15" s="301"/>
      <c r="O15" s="30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7" t="s">
        <v>169</v>
      </c>
      <c r="N17" s="298"/>
      <c r="O17" s="299"/>
    </row>
    <row r="18" spans="2:18" x14ac:dyDescent="0.25">
      <c r="B18" s="1">
        <v>100</v>
      </c>
      <c r="C18" s="2" t="s">
        <v>161</v>
      </c>
      <c r="D18" s="2"/>
      <c r="E18" s="2"/>
      <c r="F18" s="2"/>
      <c r="G18" s="2"/>
      <c r="H18" s="2"/>
      <c r="I18" s="2"/>
      <c r="J18" s="2"/>
      <c r="K18" s="3"/>
      <c r="M18" s="300"/>
      <c r="N18" s="301"/>
      <c r="O18" s="30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177216.88372093023</v>
      </c>
      <c r="C24" s="129">
        <f>'LEAP Region'!C14*1000</f>
        <v>148580.6976744186</v>
      </c>
      <c r="D24" s="129">
        <f>'LEAP Region'!D14*1000</f>
        <v>122766.32558139534</v>
      </c>
      <c r="E24" s="130">
        <f>'LEAP Region'!E14*1000</f>
        <v>83783.488372093023</v>
      </c>
      <c r="G24" s="281" t="s">
        <v>122</v>
      </c>
      <c r="H24" s="281"/>
      <c r="I24" s="281"/>
      <c r="J24" s="281"/>
      <c r="K24" s="281"/>
      <c r="L24" s="281"/>
      <c r="M24" s="281"/>
      <c r="N24" s="281"/>
    </row>
    <row r="25" spans="2:18" ht="56.25" customHeight="1" x14ac:dyDescent="0.25">
      <c r="B25" s="178">
        <f>('LEAP Region'!B7+'LEAP Region'!B8)*(2.4-1)*1000</f>
        <v>1414.3906976744183</v>
      </c>
      <c r="C25" s="179">
        <f>('LEAP Region'!C7+'LEAP Region'!C8)*(2.6-1)*1000</f>
        <v>7580.5767441860471</v>
      </c>
      <c r="D25" s="179">
        <f>('LEAP Region'!D7+'LEAP Region'!D8)*(2.8-1)*1000</f>
        <v>14924.260465116278</v>
      </c>
      <c r="E25" s="180">
        <f>('LEAP Region'!E7+'LEAP Region'!E8)*(2.3-1)*1000</f>
        <v>15986.795348837208</v>
      </c>
      <c r="G25" s="281" t="s">
        <v>178</v>
      </c>
      <c r="H25" s="281"/>
      <c r="I25" s="281"/>
      <c r="J25" s="281"/>
      <c r="K25" s="281"/>
      <c r="L25" s="281"/>
      <c r="M25" s="281"/>
      <c r="N25" s="281"/>
    </row>
    <row r="26" spans="2:18" ht="56.25" customHeight="1" x14ac:dyDescent="0.25">
      <c r="B26" s="128">
        <f>'LEAP Region'!H14*1000</f>
        <v>172653.20930232559</v>
      </c>
      <c r="C26" s="129">
        <f>'LEAP Region'!I14*1000</f>
        <v>140951.34883720931</v>
      </c>
      <c r="D26" s="129">
        <f>'LEAP Region'!J14*1000</f>
        <v>106601.86046511626</v>
      </c>
      <c r="E26" s="130">
        <f>'LEAP Region'!K14*1000</f>
        <v>60059.348837209312</v>
      </c>
      <c r="G26" s="281" t="s">
        <v>123</v>
      </c>
      <c r="H26" s="281"/>
      <c r="I26" s="281"/>
      <c r="J26" s="281"/>
      <c r="K26" s="281"/>
      <c r="L26" s="281"/>
      <c r="M26" s="281"/>
      <c r="N26" s="281"/>
    </row>
    <row r="27" spans="2:18" ht="56.25" customHeight="1" thickBot="1" x14ac:dyDescent="0.3">
      <c r="B27" s="181">
        <f>('LEAP Region'!H7+'LEAP Region'!H8)*(2.4-1)*1000</f>
        <v>1902.111627906977</v>
      </c>
      <c r="C27" s="182">
        <f>('LEAP Region'!I7+'LEAP Region'!I8)*(2.6-1)*1000</f>
        <v>8695.3674418604678</v>
      </c>
      <c r="D27" s="182">
        <f>('LEAP Region'!J7+'LEAP Region'!J8)*(2.8-1)*1000</f>
        <v>19752.697674418607</v>
      </c>
      <c r="E27" s="183">
        <f>('LEAP Region'!K7+'LEAP Region'!K8)*(3-1)*1000</f>
        <v>27591.069767441862</v>
      </c>
      <c r="G27" s="281" t="s">
        <v>178</v>
      </c>
      <c r="H27" s="281"/>
      <c r="I27" s="281"/>
      <c r="J27" s="281"/>
      <c r="K27" s="281"/>
      <c r="L27" s="281"/>
      <c r="M27" s="281"/>
      <c r="N27" s="281"/>
    </row>
    <row r="28" spans="2:18" ht="56.25" customHeight="1" thickTop="1" x14ac:dyDescent="0.25">
      <c r="B28" s="128">
        <f>B24+B25-B26-B27</f>
        <v>4075.953488372083</v>
      </c>
      <c r="C28" s="129">
        <f>C24+C25-C26-C27</f>
        <v>6514.5581395348672</v>
      </c>
      <c r="D28" s="129">
        <f>D24+D25-D26-D27</f>
        <v>11336.02790697676</v>
      </c>
      <c r="E28" s="130">
        <f>E24+E25-E26-E27</f>
        <v>12119.865116279048</v>
      </c>
      <c r="G28" s="281" t="s">
        <v>177</v>
      </c>
      <c r="H28" s="281"/>
      <c r="I28" s="281"/>
      <c r="J28" s="281"/>
      <c r="K28" s="281"/>
      <c r="L28" s="281"/>
      <c r="M28" s="281"/>
      <c r="N28" s="281"/>
    </row>
    <row r="29" spans="2:18" ht="56.25" customHeight="1" x14ac:dyDescent="0.25">
      <c r="B29" s="282">
        <f>0.25*'1.Current Heat'!B10</f>
        <v>37.1875</v>
      </c>
      <c r="C29" s="283"/>
      <c r="D29" s="283"/>
      <c r="E29" s="284"/>
      <c r="G29" s="281" t="s">
        <v>124</v>
      </c>
      <c r="H29" s="281"/>
      <c r="I29" s="281"/>
      <c r="J29" s="281"/>
      <c r="K29" s="281"/>
      <c r="L29" s="281"/>
      <c r="M29" s="281"/>
      <c r="N29" s="281"/>
      <c r="R29">
        <v>60</v>
      </c>
    </row>
    <row r="30" spans="2:18" ht="56.25" customHeight="1" x14ac:dyDescent="0.25">
      <c r="B30" s="128">
        <f>B28/$B$29</f>
        <v>109.60547195622408</v>
      </c>
      <c r="C30" s="129">
        <f>C28/$B$29</f>
        <v>175.18139534883676</v>
      </c>
      <c r="D30" s="129">
        <f>D28/$B$29</f>
        <v>304.83436388508937</v>
      </c>
      <c r="E30" s="130">
        <f>E28/$B$29</f>
        <v>325.91233926128535</v>
      </c>
      <c r="G30" s="281" t="s">
        <v>125</v>
      </c>
      <c r="H30" s="281"/>
      <c r="I30" s="281"/>
      <c r="J30" s="281"/>
      <c r="K30" s="281"/>
      <c r="L30" s="281"/>
      <c r="M30" s="281"/>
      <c r="N30" s="281"/>
      <c r="R30">
        <v>96</v>
      </c>
    </row>
    <row r="31" spans="2:18" ht="56.25" customHeight="1" x14ac:dyDescent="0.25">
      <c r="B31" s="131">
        <f>'1.Current Heat'!B8</f>
        <v>891</v>
      </c>
      <c r="C31" s="132">
        <f t="shared" ref="C31:E31" si="0">B31*1.06</f>
        <v>944.46</v>
      </c>
      <c r="D31" s="132">
        <f t="shared" si="0"/>
        <v>1001.1276000000001</v>
      </c>
      <c r="E31" s="133">
        <f t="shared" si="0"/>
        <v>1061.1952560000002</v>
      </c>
      <c r="G31" s="281" t="s">
        <v>126</v>
      </c>
      <c r="H31" s="281"/>
      <c r="I31" s="281"/>
      <c r="J31" s="281"/>
      <c r="K31" s="281"/>
      <c r="L31" s="281"/>
      <c r="M31" s="281"/>
      <c r="N31" s="281"/>
      <c r="O31" s="186">
        <f>(E31/B31)^(1/(E23-B23))-1</f>
        <v>5.006971033976404E-3</v>
      </c>
      <c r="R31">
        <f>R29+R30</f>
        <v>156</v>
      </c>
    </row>
    <row r="32" spans="2:18" ht="56.25" customHeight="1" x14ac:dyDescent="0.25">
      <c r="B32" s="134">
        <f>B30/B31</f>
        <v>0.12301399770619986</v>
      </c>
      <c r="C32" s="135">
        <f>C30/C31</f>
        <v>0.1854831282943023</v>
      </c>
      <c r="D32" s="135">
        <f>D30/D31</f>
        <v>0.30449101981115029</v>
      </c>
      <c r="E32" s="136">
        <f>E30/E31</f>
        <v>0.30711816455885599</v>
      </c>
      <c r="G32" s="281" t="s">
        <v>183</v>
      </c>
      <c r="H32" s="281"/>
      <c r="I32" s="281"/>
      <c r="J32" s="281"/>
      <c r="K32" s="281"/>
      <c r="L32" s="281"/>
      <c r="M32" s="281"/>
      <c r="N32" s="28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27172.035640849896</v>
      </c>
      <c r="C37" s="129">
        <f>('LEAP Region'!O11-'LEAP Region'!O6)*1000</f>
        <v>25845.099383139132</v>
      </c>
      <c r="D37" s="129">
        <f>('LEAP Region'!P11-'LEAP Region'!P6)*1000</f>
        <v>23915.010281014398</v>
      </c>
      <c r="E37" s="130">
        <f>('LEAP Region'!Q11-'LEAP Region'!Q6)*1000</f>
        <v>21230.980123372166</v>
      </c>
      <c r="G37" s="281" t="s">
        <v>179</v>
      </c>
      <c r="H37" s="281"/>
      <c r="I37" s="281"/>
      <c r="J37" s="281"/>
      <c r="K37" s="281"/>
      <c r="L37" s="281"/>
      <c r="M37" s="281"/>
      <c r="N37" s="281"/>
    </row>
    <row r="38" spans="2:34" ht="56.25" customHeight="1" x14ac:dyDescent="0.25">
      <c r="B38" s="128">
        <f>'LEAP Region'!N6*1000</f>
        <v>22738.862234407126</v>
      </c>
      <c r="C38" s="129">
        <f>'LEAP Region'!O6*1000</f>
        <v>24186.429061000683</v>
      </c>
      <c r="D38" s="129">
        <f>'LEAP Region'!P6*1000</f>
        <v>25241.946538725151</v>
      </c>
      <c r="E38" s="130">
        <f>'LEAP Region'!Q6*1000</f>
        <v>27473.612063056888</v>
      </c>
      <c r="F38" s="184"/>
      <c r="G38" s="281" t="s">
        <v>97</v>
      </c>
      <c r="H38" s="281"/>
      <c r="I38" s="281"/>
      <c r="J38" s="281"/>
      <c r="K38" s="281"/>
      <c r="L38" s="281"/>
      <c r="M38" s="281"/>
      <c r="N38" s="281"/>
    </row>
    <row r="39" spans="2:34" ht="56.25" customHeight="1" x14ac:dyDescent="0.25">
      <c r="B39" s="128">
        <f>0.005*B38</f>
        <v>113.69431117203564</v>
      </c>
      <c r="C39" s="129">
        <f>B39-(($B$39-$E$39)/3)</f>
        <v>533.68974183230523</v>
      </c>
      <c r="D39" s="129">
        <f>C39-(($B$39-$E$39)/3)</f>
        <v>953.68517249257479</v>
      </c>
      <c r="E39" s="130">
        <f>0.05*E38</f>
        <v>1373.6806031528445</v>
      </c>
      <c r="G39" s="281" t="s">
        <v>195</v>
      </c>
      <c r="H39" s="281"/>
      <c r="I39" s="281"/>
      <c r="J39" s="281"/>
      <c r="K39" s="281"/>
      <c r="L39" s="281"/>
      <c r="M39" s="281"/>
      <c r="N39" s="281"/>
      <c r="V39" s="21"/>
      <c r="W39" s="21"/>
      <c r="X39" s="21"/>
      <c r="Y39" s="21"/>
      <c r="AH39" s="21"/>
    </row>
    <row r="40" spans="2:34" ht="56.25" customHeight="1" x14ac:dyDescent="0.25">
      <c r="B40" s="142">
        <f>B39*(2.4-1)</f>
        <v>159.17203564084988</v>
      </c>
      <c r="C40" s="143">
        <f>C39*(2.6-1)</f>
        <v>853.90358693168844</v>
      </c>
      <c r="D40" s="143">
        <f>D39*(2.8-1)</f>
        <v>1716.6333104866344</v>
      </c>
      <c r="E40" s="144">
        <f>E39*(3-1)</f>
        <v>2747.3612063056889</v>
      </c>
      <c r="G40" s="281" t="s">
        <v>196</v>
      </c>
      <c r="H40" s="281"/>
      <c r="I40" s="281"/>
      <c r="J40" s="281"/>
      <c r="K40" s="281"/>
      <c r="L40" s="281"/>
      <c r="M40" s="281"/>
      <c r="N40" s="281"/>
      <c r="V40" s="21"/>
      <c r="W40" s="21"/>
      <c r="X40" s="21"/>
      <c r="Y40" s="21"/>
      <c r="AH40" s="21"/>
    </row>
    <row r="41" spans="2:34" ht="56.25" customHeight="1" x14ac:dyDescent="0.25">
      <c r="B41" s="128">
        <f>('LEAP Region'!T11-'LEAP Region'!T6)*1000</f>
        <v>27081.562714187792</v>
      </c>
      <c r="C41" s="129">
        <f>('LEAP Region'!U11-'LEAP Region'!U6)*1000</f>
        <v>25181.631254283759</v>
      </c>
      <c r="D41" s="129">
        <f>('LEAP Region'!V11-'LEAP Region'!V6)*1000</f>
        <v>22648.389307745027</v>
      </c>
      <c r="E41" s="130">
        <f>('LEAP Region'!W11-'LEAP Region'!W6)*1000</f>
        <v>18999.314599040434</v>
      </c>
      <c r="G41" s="281" t="s">
        <v>197</v>
      </c>
      <c r="H41" s="281"/>
      <c r="I41" s="281"/>
      <c r="J41" s="281"/>
      <c r="K41" s="281"/>
      <c r="L41" s="281"/>
      <c r="M41" s="281"/>
      <c r="N41" s="281"/>
      <c r="AH41" s="21"/>
    </row>
    <row r="42" spans="2:34" ht="56.25" customHeight="1" x14ac:dyDescent="0.25">
      <c r="B42" s="128">
        <f>'LEAP Region'!T6*1000</f>
        <v>22437.285812200134</v>
      </c>
      <c r="C42" s="129">
        <f>'LEAP Region'!U6*1000</f>
        <v>22226.182316655242</v>
      </c>
      <c r="D42" s="129">
        <f>'LEAP Region'!V6*1000</f>
        <v>21532.556545579162</v>
      </c>
      <c r="E42" s="130">
        <f>'LEAP Region'!W6*1000</f>
        <v>20869.088416723782</v>
      </c>
      <c r="G42" s="281" t="s">
        <v>98</v>
      </c>
      <c r="H42" s="281"/>
      <c r="I42" s="281"/>
      <c r="J42" s="281"/>
      <c r="K42" s="281"/>
      <c r="L42" s="281"/>
      <c r="M42" s="281"/>
      <c r="N42" s="281"/>
      <c r="V42" s="29"/>
      <c r="W42" s="29"/>
      <c r="X42" s="29"/>
      <c r="Y42" s="29"/>
      <c r="AH42" s="21"/>
    </row>
    <row r="43" spans="2:34" ht="56.25" customHeight="1" x14ac:dyDescent="0.25">
      <c r="B43" s="128">
        <f>B39</f>
        <v>113.69431117203564</v>
      </c>
      <c r="C43" s="129">
        <f>B43-(($B$43-$E$43)/3)</f>
        <v>640.48130378493624</v>
      </c>
      <c r="D43" s="129">
        <f>C43-(($B$43-$E$43)/3)</f>
        <v>1167.2682963978368</v>
      </c>
      <c r="E43" s="130">
        <f>0.8*((E37+E39+E40-E41)/3)</f>
        <v>1694.0552890107374</v>
      </c>
      <c r="G43" s="281" t="s">
        <v>142</v>
      </c>
      <c r="H43" s="281"/>
      <c r="I43" s="281"/>
      <c r="J43" s="281"/>
      <c r="K43" s="281"/>
      <c r="L43" s="281"/>
      <c r="M43" s="281"/>
      <c r="N43" s="281"/>
      <c r="AH43" s="21"/>
    </row>
    <row r="44" spans="2:34" ht="56.25" customHeight="1" x14ac:dyDescent="0.25">
      <c r="B44" s="128">
        <f>B43*(2.4-1)</f>
        <v>159.17203564084988</v>
      </c>
      <c r="C44" s="129">
        <f>C43*(2.6-1)</f>
        <v>1024.770086055898</v>
      </c>
      <c r="D44" s="129">
        <f>D43*(2.8-1)</f>
        <v>2101.0829335161061</v>
      </c>
      <c r="E44" s="130">
        <f>E43*(3-1)</f>
        <v>3388.1105780214748</v>
      </c>
      <c r="F44" s="21"/>
      <c r="G44" s="281" t="s">
        <v>96</v>
      </c>
      <c r="H44" s="281"/>
      <c r="I44" s="281"/>
      <c r="J44" s="281"/>
      <c r="K44" s="281"/>
      <c r="L44" s="281"/>
      <c r="M44" s="281"/>
      <c r="N44" s="281"/>
      <c r="R44">
        <v>33</v>
      </c>
      <c r="V44" s="21"/>
      <c r="W44" s="21"/>
      <c r="X44" s="21"/>
      <c r="Y44" s="21"/>
      <c r="AH44" s="21"/>
    </row>
    <row r="45" spans="2:34" ht="56.25" customHeight="1" x14ac:dyDescent="0.25">
      <c r="B45" s="128">
        <f>B37+B39+B40-B41-B43-B44</f>
        <v>90.472926662104953</v>
      </c>
      <c r="C45" s="129">
        <f>C37+C39+C40-C41-C43-C44</f>
        <v>385.81006777853145</v>
      </c>
      <c r="D45" s="129">
        <f>D37+D39+D40-D41-D43-D44</f>
        <v>668.58822633464024</v>
      </c>
      <c r="E45" s="130">
        <f>E37+E39+E40-E41-E43-E44</f>
        <v>1270.5414667580535</v>
      </c>
      <c r="F45" s="92"/>
      <c r="G45" s="281" t="s">
        <v>149</v>
      </c>
      <c r="H45" s="281"/>
      <c r="I45" s="281"/>
      <c r="J45" s="281"/>
      <c r="K45" s="281"/>
      <c r="L45" s="281"/>
      <c r="M45" s="281"/>
      <c r="N45" s="281"/>
      <c r="R45">
        <v>6</v>
      </c>
      <c r="AH45" s="21"/>
    </row>
    <row r="46" spans="2:34" ht="56.25" customHeight="1" x14ac:dyDescent="0.25">
      <c r="B46" s="285">
        <f ca="1">0.2*'1.Current Heat'!B24</f>
        <v>157.25092696714384</v>
      </c>
      <c r="C46" s="286"/>
      <c r="D46" s="286"/>
      <c r="E46" s="287"/>
      <c r="G46" s="281" t="s">
        <v>127</v>
      </c>
      <c r="H46" s="281"/>
      <c r="I46" s="281"/>
      <c r="J46" s="281"/>
      <c r="K46" s="281"/>
      <c r="L46" s="281"/>
      <c r="M46" s="281"/>
      <c r="N46" s="281"/>
      <c r="R46">
        <f>R45/R44</f>
        <v>0.18181818181818182</v>
      </c>
      <c r="AH46" s="21"/>
    </row>
    <row r="47" spans="2:34" ht="56.25" customHeight="1" x14ac:dyDescent="0.25">
      <c r="B47" s="128">
        <f ca="1">B45/$B$46</f>
        <v>0.57534113411622978</v>
      </c>
      <c r="C47" s="129">
        <f ca="1">C45/$B$46</f>
        <v>2.4534676851802786</v>
      </c>
      <c r="D47" s="129">
        <f ca="1">D45/$B$46</f>
        <v>4.2517283632568708</v>
      </c>
      <c r="E47" s="130">
        <f ca="1">E45/$B$46</f>
        <v>8.0797073267715724</v>
      </c>
      <c r="G47" s="281" t="s">
        <v>128</v>
      </c>
      <c r="H47" s="281"/>
      <c r="I47" s="281"/>
      <c r="J47" s="281"/>
      <c r="K47" s="281"/>
      <c r="L47" s="281"/>
      <c r="M47" s="281"/>
      <c r="N47" s="281"/>
    </row>
    <row r="48" spans="2:34" ht="56.25" customHeight="1" x14ac:dyDescent="0.25">
      <c r="B48" s="131">
        <f ca="1">'1.Current Heat'!B22</f>
        <v>44</v>
      </c>
      <c r="C48" s="132">
        <f t="shared" ref="C48:E48" ca="1" si="1">B48*1.06</f>
        <v>46.64</v>
      </c>
      <c r="D48" s="132">
        <f t="shared" ca="1" si="1"/>
        <v>49.438400000000001</v>
      </c>
      <c r="E48" s="133">
        <f t="shared" ca="1" si="1"/>
        <v>52.404704000000002</v>
      </c>
      <c r="G48" s="281" t="s">
        <v>194</v>
      </c>
      <c r="H48" s="281"/>
      <c r="I48" s="281"/>
      <c r="J48" s="281"/>
      <c r="K48" s="281"/>
      <c r="L48" s="281"/>
      <c r="M48" s="281"/>
      <c r="N48" s="281"/>
      <c r="O48" s="186">
        <f ca="1">(E48/B48)^(1/(E36-B36))-1</f>
        <v>5.006971033976404E-3</v>
      </c>
    </row>
    <row r="49" spans="1:14" ht="56.25" customHeight="1" x14ac:dyDescent="0.25">
      <c r="B49" s="134">
        <f ca="1">B47/B48</f>
        <v>1.307593486627795E-2</v>
      </c>
      <c r="C49" s="135">
        <f ca="1">C47/C48</f>
        <v>5.2604367177964809E-2</v>
      </c>
      <c r="D49" s="135">
        <f ca="1">D47/D48</f>
        <v>8.6000525163776959E-2</v>
      </c>
      <c r="E49" s="136">
        <f ca="1">E47/E48</f>
        <v>0.1541790471094269</v>
      </c>
      <c r="G49" s="281" t="s">
        <v>182</v>
      </c>
      <c r="H49" s="281"/>
      <c r="I49" s="281"/>
      <c r="J49" s="281"/>
      <c r="K49" s="281"/>
      <c r="L49" s="281"/>
      <c r="M49" s="281"/>
      <c r="N49" s="28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148.75</v>
      </c>
      <c r="C54" s="147">
        <f>C32*($B$54-$B$29)+(1-C32)*$B$54</f>
        <v>141.85234616655563</v>
      </c>
      <c r="D54" s="147">
        <f>D32*($B$54-$B$29)+(1-D32)*$B$54</f>
        <v>137.42674020077285</v>
      </c>
      <c r="E54" s="148">
        <f>E32*($B$54-$B$29)+(1-E32)*$B$54</f>
        <v>137.32904325546752</v>
      </c>
      <c r="F54" s="1"/>
      <c r="G54" s="281" t="s">
        <v>109</v>
      </c>
      <c r="H54" s="281"/>
      <c r="I54" s="281"/>
      <c r="J54" s="281"/>
      <c r="K54" s="281"/>
      <c r="L54" s="281"/>
      <c r="M54" s="281"/>
      <c r="N54" s="281"/>
    </row>
    <row r="55" spans="1:14" ht="56.25" customHeight="1" x14ac:dyDescent="0.25">
      <c r="B55" s="149">
        <f>('LEAP Region'!H4+'LEAP Region'!H9+'LEAP Region'!H12)*1000</f>
        <v>63682.418604651168</v>
      </c>
      <c r="C55" s="150">
        <f>('LEAP Region'!I4+'LEAP Region'!I9+'LEAP Region'!I12)*1000</f>
        <v>46228.976744186039</v>
      </c>
      <c r="D55" s="150">
        <f>('LEAP Region'!J4+'LEAP Region'!J9+'LEAP Region'!J12)*1000</f>
        <v>29402.60465116279</v>
      </c>
      <c r="E55" s="151">
        <f>('LEAP Region'!K4+'LEAP Region'!K9+'LEAP Region'!K12)*1000</f>
        <v>4424.3255813953492</v>
      </c>
      <c r="G55" s="281" t="s">
        <v>110</v>
      </c>
      <c r="H55" s="281"/>
      <c r="I55" s="281"/>
      <c r="J55" s="281"/>
      <c r="K55" s="281"/>
      <c r="L55" s="281"/>
      <c r="M55" s="281"/>
      <c r="N55" s="281"/>
    </row>
    <row r="56" spans="1:14" ht="56.25" customHeight="1" x14ac:dyDescent="0.25">
      <c r="B56" s="152">
        <f>'LEAP Region'!H4*1000/'2.Heat Targets'!B55</f>
        <v>7.658643326039387E-3</v>
      </c>
      <c r="C56" s="153">
        <f>'LEAP Region'!I4*1000/'2.Heat Targets'!C55</f>
        <v>3.7678975131876423E-2</v>
      </c>
      <c r="D56" s="153">
        <f>'LEAP Region'!J4*1000/'2.Heat Targets'!D55</f>
        <v>9.7156398104265393E-2</v>
      </c>
      <c r="E56" s="154">
        <f>'LEAP Region'!K4*1000/'2.Heat Targets'!E55</f>
        <v>1</v>
      </c>
      <c r="G56" s="281" t="s">
        <v>137</v>
      </c>
      <c r="H56" s="281"/>
      <c r="I56" s="281"/>
      <c r="J56" s="281"/>
      <c r="K56" s="281"/>
      <c r="L56" s="281"/>
      <c r="M56" s="281"/>
      <c r="N56" s="281"/>
    </row>
    <row r="57" spans="1:14" ht="56.25" customHeight="1" x14ac:dyDescent="0.25">
      <c r="B57" s="128">
        <f>B55/B54</f>
        <v>428.11709986320113</v>
      </c>
      <c r="C57" s="129">
        <f>C55/C54</f>
        <v>325.89504504850686</v>
      </c>
      <c r="D57" s="129">
        <f>D55/D54</f>
        <v>213.95111757877115</v>
      </c>
      <c r="E57" s="130">
        <f>E55/E54</f>
        <v>32.21696937890232</v>
      </c>
      <c r="G57" s="281" t="s">
        <v>111</v>
      </c>
      <c r="H57" s="281"/>
      <c r="I57" s="281"/>
      <c r="J57" s="281"/>
      <c r="K57" s="281"/>
      <c r="L57" s="281"/>
      <c r="M57" s="281"/>
      <c r="N57" s="281"/>
    </row>
    <row r="58" spans="1:14" ht="56.25" customHeight="1" x14ac:dyDescent="0.25">
      <c r="B58" s="134">
        <f>B57/B31</f>
        <v>0.48049057223703828</v>
      </c>
      <c r="C58" s="135">
        <f>C57/C31</f>
        <v>0.34505965848051462</v>
      </c>
      <c r="D58" s="135">
        <f>D57/D31</f>
        <v>0.21371013802713174</v>
      </c>
      <c r="E58" s="136">
        <f>E57/E31</f>
        <v>3.0359134378661709E-2</v>
      </c>
      <c r="G58" s="281" t="s">
        <v>130</v>
      </c>
      <c r="H58" s="281"/>
      <c r="I58" s="281"/>
      <c r="J58" s="281"/>
      <c r="K58" s="281"/>
      <c r="L58" s="281"/>
      <c r="M58" s="281"/>
      <c r="N58" s="281"/>
    </row>
    <row r="59" spans="1:14" ht="56.25" customHeight="1" x14ac:dyDescent="0.25">
      <c r="B59" s="149">
        <f>('LEAP Region'!H5+'LEAP Region'!H13)*1000</f>
        <v>75770.930232558138</v>
      </c>
      <c r="C59" s="150">
        <f>('LEAP Region'!I5+'LEAP Region'!I13)*1000</f>
        <v>63508.232558139534</v>
      </c>
      <c r="D59" s="150">
        <f>('LEAP Region'!J5+'LEAP Region'!J13)*1000</f>
        <v>50339.767441860466</v>
      </c>
      <c r="E59" s="151">
        <f>('LEAP Region'!K5+'LEAP Region'!K13)*1000</f>
        <v>36439.72093023255</v>
      </c>
      <c r="G59" s="281" t="s">
        <v>112</v>
      </c>
      <c r="H59" s="281"/>
      <c r="I59" s="281"/>
      <c r="J59" s="281"/>
      <c r="K59" s="281"/>
      <c r="L59" s="281"/>
      <c r="M59" s="281"/>
      <c r="N59" s="281"/>
    </row>
    <row r="60" spans="1:14" ht="56.25" customHeight="1" x14ac:dyDescent="0.25">
      <c r="A60" s="2"/>
      <c r="B60" s="128">
        <f>B59/B54</f>
        <v>509.38440492476059</v>
      </c>
      <c r="C60" s="129">
        <f>C59/C54</f>
        <v>447.70660672451254</v>
      </c>
      <c r="D60" s="129">
        <f>D59/D54</f>
        <v>366.30256504896249</v>
      </c>
      <c r="E60" s="130">
        <f>E59/E54</f>
        <v>265.3460627585182</v>
      </c>
      <c r="G60" s="281" t="s">
        <v>140</v>
      </c>
      <c r="H60" s="281"/>
      <c r="I60" s="281"/>
      <c r="J60" s="281"/>
      <c r="K60" s="281"/>
      <c r="L60" s="281"/>
      <c r="M60" s="281"/>
      <c r="N60" s="281"/>
    </row>
    <row r="61" spans="1:14" ht="56.25" customHeight="1" x14ac:dyDescent="0.25">
      <c r="B61" s="134">
        <f>B60/B31</f>
        <v>0.57169966882689183</v>
      </c>
      <c r="C61" s="135">
        <f>C60/C31</f>
        <v>0.47403448184625346</v>
      </c>
      <c r="D61" s="135">
        <f>D60/D31</f>
        <v>0.36588998749905849</v>
      </c>
      <c r="E61" s="136">
        <f>E60/E31</f>
        <v>0.25004452409511918</v>
      </c>
      <c r="G61" s="281" t="s">
        <v>131</v>
      </c>
      <c r="H61" s="281"/>
      <c r="I61" s="281"/>
      <c r="J61" s="281"/>
      <c r="K61" s="281"/>
      <c r="L61" s="281"/>
      <c r="M61" s="281"/>
      <c r="N61" s="281"/>
    </row>
    <row r="62" spans="1:14" ht="56.25" customHeight="1" x14ac:dyDescent="0.25">
      <c r="B62" s="149">
        <f>('LEAP Region'!H7+'LEAP Region'!H8)*1000</f>
        <v>1358.6511627906978</v>
      </c>
      <c r="C62" s="150">
        <f>('LEAP Region'!I7+'LEAP Region'!I8)*1000</f>
        <v>5434.604651162791</v>
      </c>
      <c r="D62" s="150">
        <f>('LEAP Region'!J7+'LEAP Region'!J8)*1000</f>
        <v>10973.720930232559</v>
      </c>
      <c r="E62" s="151">
        <f>('LEAP Region'!K7+'LEAP Region'!K8)*1000</f>
        <v>13795.534883720931</v>
      </c>
      <c r="G62" s="281" t="s">
        <v>113</v>
      </c>
      <c r="H62" s="281"/>
      <c r="I62" s="281"/>
      <c r="J62" s="281"/>
      <c r="K62" s="281"/>
      <c r="L62" s="281"/>
      <c r="M62" s="281"/>
      <c r="N62" s="281"/>
    </row>
    <row r="63" spans="1:14" ht="56.25" customHeight="1" x14ac:dyDescent="0.25">
      <c r="B63" s="128">
        <f>B62/((0.7*B54)/2.4)</f>
        <v>31.315849130349811</v>
      </c>
      <c r="C63" s="129">
        <f>C62/((0.75*C54)/2.6)</f>
        <v>132.81389627899969</v>
      </c>
      <c r="D63" s="129">
        <f>D62/((0.8*D54)/2.8)</f>
        <v>279.47998475189007</v>
      </c>
      <c r="E63" s="130">
        <f>E62/((0.85*E54)/3)</f>
        <v>354.55080706008289</v>
      </c>
      <c r="F63" s="91"/>
      <c r="G63" s="281" t="s">
        <v>180</v>
      </c>
      <c r="H63" s="281"/>
      <c r="I63" s="281"/>
      <c r="J63" s="281"/>
      <c r="K63" s="281"/>
      <c r="L63" s="281"/>
      <c r="M63" s="281"/>
      <c r="N63" s="281"/>
    </row>
    <row r="64" spans="1:14" ht="56.25" customHeight="1" x14ac:dyDescent="0.25">
      <c r="B64" s="134">
        <f>B63/B31</f>
        <v>3.5146856487485757E-2</v>
      </c>
      <c r="C64" s="135">
        <f>C63/C31</f>
        <v>0.14062416225038613</v>
      </c>
      <c r="D64" s="135">
        <f>D63/D31</f>
        <v>0.27916519807454115</v>
      </c>
      <c r="E64" s="136">
        <f>E63/E31</f>
        <v>0.33410515647846323</v>
      </c>
      <c r="G64" s="281" t="s">
        <v>114</v>
      </c>
      <c r="H64" s="281"/>
      <c r="I64" s="281"/>
      <c r="J64" s="281"/>
      <c r="K64" s="281"/>
      <c r="L64" s="281"/>
      <c r="M64" s="281"/>
      <c r="N64" s="281"/>
    </row>
    <row r="65" spans="1:20" ht="56.25" customHeight="1" x14ac:dyDescent="0.25">
      <c r="B65" s="149">
        <f>('LEAP Region'!H10+'LEAP Region'!H11)*1000</f>
        <v>24629.906976744187</v>
      </c>
      <c r="C65" s="150">
        <f>('LEAP Region'!I10+'LEAP Region'!I11)*1000</f>
        <v>19264.976744186046</v>
      </c>
      <c r="D65" s="150">
        <f>('LEAP Region'!J10+'LEAP Region'!J11)*1000</f>
        <v>12332.372093023256</v>
      </c>
      <c r="E65" s="151">
        <f>('LEAP Region'!K10+'LEAP Region'!K11)*1000</f>
        <v>4319.813953488373</v>
      </c>
      <c r="G65" s="281" t="s">
        <v>115</v>
      </c>
      <c r="H65" s="281"/>
      <c r="I65" s="281"/>
      <c r="J65" s="281"/>
      <c r="K65" s="281"/>
      <c r="L65" s="281"/>
      <c r="M65" s="281"/>
      <c r="N65" s="281"/>
    </row>
    <row r="66" spans="1:20" ht="56.25" customHeight="1" x14ac:dyDescent="0.25">
      <c r="B66" s="128">
        <f>B65/B54</f>
        <v>165.57920656634747</v>
      </c>
      <c r="C66" s="129">
        <f>C65/C54</f>
        <v>135.81006775570785</v>
      </c>
      <c r="D66" s="129">
        <f>D65/D54</f>
        <v>89.737791022375575</v>
      </c>
      <c r="E66" s="130">
        <f>E65/E54</f>
        <v>31.455938606172346</v>
      </c>
      <c r="G66" s="281" t="s">
        <v>146</v>
      </c>
      <c r="H66" s="281"/>
      <c r="I66" s="281"/>
      <c r="J66" s="281"/>
      <c r="K66" s="281"/>
      <c r="L66" s="281"/>
      <c r="M66" s="281"/>
      <c r="N66" s="281"/>
    </row>
    <row r="67" spans="1:20" ht="56.25" customHeight="1" x14ac:dyDescent="0.25">
      <c r="A67" s="21"/>
      <c r="B67" s="134">
        <f>B66/B31</f>
        <v>0.18583524867154597</v>
      </c>
      <c r="C67" s="135">
        <f>C66/C31</f>
        <v>0.14379652685736594</v>
      </c>
      <c r="D67" s="135">
        <f>D66/D31</f>
        <v>8.9636716660668997E-2</v>
      </c>
      <c r="E67" s="136">
        <f>E66/E31</f>
        <v>2.9641989472079151E-2</v>
      </c>
      <c r="G67" s="281" t="s">
        <v>116</v>
      </c>
      <c r="H67" s="281"/>
      <c r="I67" s="281"/>
      <c r="J67" s="281"/>
      <c r="K67" s="281"/>
      <c r="L67" s="281"/>
      <c r="M67" s="281"/>
      <c r="N67" s="28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786.25463483571912</v>
      </c>
      <c r="C72" s="156">
        <f ca="1">C49*($B$72-$B$46)+(1-C49)*$B$72</f>
        <v>777.98254933446412</v>
      </c>
      <c r="D72" s="156">
        <f ca="1">D49*($B$72-$B$46)+(1-D49)*$B$72</f>
        <v>772.73097253405399</v>
      </c>
      <c r="E72" s="157">
        <f ca="1">E49*($B$72-$B$46)+(1-E49)*$B$72</f>
        <v>762.00983675885084</v>
      </c>
      <c r="G72" s="280" t="s">
        <v>134</v>
      </c>
      <c r="H72" s="280"/>
      <c r="I72" s="280"/>
      <c r="J72" s="280"/>
      <c r="K72" s="280"/>
      <c r="L72" s="280"/>
      <c r="M72" s="280"/>
      <c r="N72" s="280"/>
    </row>
    <row r="73" spans="1:20" ht="56.25" customHeight="1" x14ac:dyDescent="0.25">
      <c r="B73" s="149">
        <f>('LEAP Region'!T4+'LEAP Region'!T5+'LEAP Region'!T9)*1000</f>
        <v>13812.20013708019</v>
      </c>
      <c r="C73" s="150">
        <f>('LEAP Region'!U4+'LEAP Region'!U5+'LEAP Region'!U9)*1000</f>
        <v>11580.534612748459</v>
      </c>
      <c r="D73" s="150">
        <f>('LEAP Region'!V4+'LEAP Region'!V5+'LEAP Region'!V9)*1000</f>
        <v>8986.9773817683345</v>
      </c>
      <c r="E73" s="151">
        <f>('LEAP Region'!W4+'LEAP Region'!W5+'LEAP Region'!W9)*1000</f>
        <v>4976.0109664153524</v>
      </c>
      <c r="G73" s="281" t="s">
        <v>133</v>
      </c>
      <c r="H73" s="281"/>
      <c r="I73" s="281"/>
      <c r="J73" s="281"/>
      <c r="K73" s="281"/>
      <c r="L73" s="281"/>
      <c r="M73" s="281"/>
      <c r="N73" s="281"/>
    </row>
    <row r="74" spans="1:20" ht="56.25" customHeight="1" x14ac:dyDescent="0.25">
      <c r="B74" s="158">
        <f ca="1">com_share_state_target*'LEAP Statewide'!T4*1000/'2.Heat Targets'!B73</f>
        <v>7.3881531953728695E-3</v>
      </c>
      <c r="C74" s="145">
        <f ca="1">com_share_state_target*'LEAP Statewide'!U4*1000/'2.Heat Targets'!C73</f>
        <v>5.5095837411044152E-2</v>
      </c>
      <c r="D74" s="145">
        <f ca="1">com_share_state_target*'LEAP Statewide'!V4*1000/'2.Heat Targets'!D73</f>
        <v>0.13320014116849041</v>
      </c>
      <c r="E74" s="159">
        <f ca="1">com_share_state_target*'LEAP Statewide'!W4*1000/'2.Heat Targets'!E73</f>
        <v>0.42777515682485684</v>
      </c>
      <c r="G74" s="281" t="s">
        <v>136</v>
      </c>
      <c r="H74" s="281"/>
      <c r="I74" s="281"/>
      <c r="J74" s="281"/>
      <c r="K74" s="281"/>
      <c r="L74" s="281"/>
      <c r="M74" s="281"/>
      <c r="N74" s="281"/>
    </row>
    <row r="75" spans="1:20" ht="56.25" customHeight="1" x14ac:dyDescent="0.25">
      <c r="B75" s="128">
        <f ca="1">B73/B72</f>
        <v>17.5670826283474</v>
      </c>
      <c r="C75" s="129">
        <f ca="1">C73/C72</f>
        <v>14.885339809556379</v>
      </c>
      <c r="D75" s="129">
        <f ca="1">D73/D72</f>
        <v>11.630150338476669</v>
      </c>
      <c r="E75" s="130">
        <f ca="1">E73/E72</f>
        <v>6.5301138205517466</v>
      </c>
      <c r="G75" s="281" t="s">
        <v>135</v>
      </c>
      <c r="H75" s="281"/>
      <c r="I75" s="281"/>
      <c r="J75" s="281"/>
      <c r="K75" s="281"/>
      <c r="L75" s="281"/>
      <c r="M75" s="281"/>
      <c r="N75" s="281"/>
    </row>
    <row r="76" spans="1:20" ht="56.25" customHeight="1" x14ac:dyDescent="0.25">
      <c r="B76" s="134">
        <f ca="1">B75/B48</f>
        <v>0.39925187791698635</v>
      </c>
      <c r="C76" s="135">
        <f ca="1">C75/C48</f>
        <v>0.31915394102822425</v>
      </c>
      <c r="D76" s="135">
        <f ca="1">D75/D48</f>
        <v>0.23524528177442372</v>
      </c>
      <c r="E76" s="136">
        <f ca="1">E75/E48</f>
        <v>0.12460930645752233</v>
      </c>
      <c r="G76" s="281" t="s">
        <v>181</v>
      </c>
      <c r="H76" s="281"/>
      <c r="I76" s="281"/>
      <c r="J76" s="281"/>
      <c r="K76" s="281"/>
      <c r="L76" s="281"/>
      <c r="M76" s="281"/>
      <c r="N76" s="281"/>
    </row>
    <row r="77" spans="1:20" ht="56.25" customHeight="1" x14ac:dyDescent="0.25">
      <c r="B77" s="128">
        <f>'LEAP Region'!T10*1000</f>
        <v>4252.2275531185742</v>
      </c>
      <c r="C77" s="129">
        <f>'LEAP Region'!U10*1000</f>
        <v>5820.4249485949276</v>
      </c>
      <c r="D77" s="129">
        <f>'LEAP Region'!V10*1000</f>
        <v>7358.4647018505821</v>
      </c>
      <c r="E77" s="130">
        <f>'LEAP Region'!W10*1000</f>
        <v>10012.337217272103</v>
      </c>
      <c r="G77" s="281" t="s">
        <v>138</v>
      </c>
      <c r="H77" s="281"/>
      <c r="I77" s="281"/>
      <c r="J77" s="281"/>
      <c r="K77" s="281"/>
      <c r="L77" s="281"/>
      <c r="M77" s="281"/>
      <c r="N77" s="281"/>
    </row>
    <row r="78" spans="1:20" ht="56.25" customHeight="1" x14ac:dyDescent="0.25">
      <c r="B78" s="128">
        <f ca="1">B77/B72</f>
        <v>5.4082066606921044</v>
      </c>
      <c r="C78" s="129">
        <f ca="1">C77/C72</f>
        <v>7.4814338105322413</v>
      </c>
      <c r="D78" s="129">
        <f ca="1">D77/D72</f>
        <v>9.5226734315043871</v>
      </c>
      <c r="E78" s="130">
        <f ca="1">E77/E72</f>
        <v>13.139380535898059</v>
      </c>
      <c r="G78" s="281" t="s">
        <v>139</v>
      </c>
      <c r="H78" s="281"/>
      <c r="I78" s="281"/>
      <c r="J78" s="281"/>
      <c r="K78" s="281"/>
      <c r="L78" s="281"/>
      <c r="M78" s="281"/>
      <c r="N78" s="281"/>
    </row>
    <row r="79" spans="1:20" ht="56.25" customHeight="1" x14ac:dyDescent="0.25">
      <c r="B79" s="134">
        <f ca="1">B78/B48</f>
        <v>0.12291378774300238</v>
      </c>
      <c r="C79" s="135">
        <f ca="1">C78/C48</f>
        <v>0.16040810056887309</v>
      </c>
      <c r="D79" s="135">
        <f ca="1">D78/D48</f>
        <v>0.19261694212402478</v>
      </c>
      <c r="E79" s="136">
        <f ca="1">E78/E48</f>
        <v>0.25072902875089342</v>
      </c>
      <c r="G79" s="281" t="s">
        <v>141</v>
      </c>
      <c r="H79" s="281"/>
      <c r="I79" s="281"/>
      <c r="J79" s="281"/>
      <c r="K79" s="281"/>
      <c r="L79" s="281"/>
      <c r="M79" s="281"/>
      <c r="N79" s="281"/>
    </row>
    <row r="80" spans="1:20" ht="56.25" customHeight="1" x14ac:dyDescent="0.25">
      <c r="B80" s="149">
        <f>B43</f>
        <v>113.69431117203564</v>
      </c>
      <c r="C80" s="150">
        <f>C43</f>
        <v>640.48130378493624</v>
      </c>
      <c r="D80" s="150">
        <f>D43</f>
        <v>1167.2682963978368</v>
      </c>
      <c r="E80" s="151">
        <f>E43</f>
        <v>1694.0552890107374</v>
      </c>
      <c r="G80" s="281" t="s">
        <v>142</v>
      </c>
      <c r="H80" s="281"/>
      <c r="I80" s="281"/>
      <c r="J80" s="281"/>
      <c r="K80" s="281"/>
      <c r="L80" s="281"/>
      <c r="M80" s="281"/>
      <c r="N80" s="281"/>
    </row>
    <row r="81" spans="2:14" ht="56.25" customHeight="1" x14ac:dyDescent="0.25">
      <c r="B81" s="128">
        <f ca="1">B80/((0.7*B72)/2.4)</f>
        <v>0.49577967442697229</v>
      </c>
      <c r="C81" s="129">
        <f ca="1">C80/((0.75*C72)/2.6)</f>
        <v>2.8539652828381072</v>
      </c>
      <c r="D81" s="129">
        <f ca="1">D80/((0.8*D72)/2.8)</f>
        <v>5.2870134401302051</v>
      </c>
      <c r="E81" s="130">
        <f ca="1">E80/((0.85*E72)/3)</f>
        <v>7.8463799004590387</v>
      </c>
      <c r="G81" s="281" t="s">
        <v>143</v>
      </c>
      <c r="H81" s="281"/>
      <c r="I81" s="281"/>
      <c r="J81" s="281"/>
      <c r="K81" s="281"/>
      <c r="L81" s="281"/>
      <c r="M81" s="281"/>
      <c r="N81" s="281"/>
    </row>
    <row r="82" spans="2:14" ht="56.25" customHeight="1" x14ac:dyDescent="0.25">
      <c r="B82" s="134">
        <f ca="1">B81/B48</f>
        <v>1.1267719873340279E-2</v>
      </c>
      <c r="C82" s="135">
        <f ca="1">C81/C48</f>
        <v>6.119136541248086E-2</v>
      </c>
      <c r="D82" s="135">
        <f ca="1">D81/D48</f>
        <v>0.10694143500053005</v>
      </c>
      <c r="E82" s="136">
        <f ca="1">E81/E48</f>
        <v>0.14972663332778366</v>
      </c>
      <c r="G82" s="281" t="s">
        <v>144</v>
      </c>
      <c r="H82" s="281"/>
      <c r="I82" s="281"/>
      <c r="J82" s="281"/>
      <c r="K82" s="281"/>
      <c r="L82" s="281"/>
      <c r="M82" s="281"/>
      <c r="N82" s="281"/>
    </row>
    <row r="83" spans="2:14" ht="56.25" customHeight="1" x14ac:dyDescent="0.25">
      <c r="B83" s="149">
        <f>('LEAP Region'!T7+'LEAP Region'!T8)*1000</f>
        <v>9017.1350239890326</v>
      </c>
      <c r="C83" s="150">
        <f>('LEAP Region'!U7+'LEAP Region'!U8)*1000</f>
        <v>7780.6716929403701</v>
      </c>
      <c r="D83" s="150">
        <f>('LEAP Region'!V7+'LEAP Region'!V8)*1000</f>
        <v>6302.9472241261128</v>
      </c>
      <c r="E83" s="151">
        <f>('LEAP Region'!W7+'LEAP Region'!W8)*1000</f>
        <v>4010.9664153529811</v>
      </c>
      <c r="G83" s="281" t="s">
        <v>145</v>
      </c>
      <c r="H83" s="281"/>
      <c r="I83" s="281"/>
      <c r="J83" s="281"/>
      <c r="K83" s="281"/>
      <c r="L83" s="281"/>
      <c r="M83" s="281"/>
      <c r="N83" s="281"/>
    </row>
    <row r="84" spans="2:14" ht="56.25" customHeight="1" x14ac:dyDescent="0.25">
      <c r="B84" s="128">
        <f ca="1">B83/B72</f>
        <v>11.468466606715879</v>
      </c>
      <c r="C84" s="129">
        <f ca="1">C83/C72</f>
        <v>10.001087684545691</v>
      </c>
      <c r="D84" s="129">
        <f ca="1">D83/D72</f>
        <v>8.1567161769853147</v>
      </c>
      <c r="E84" s="130">
        <f ca="1">E83/E72</f>
        <v>5.2636675038386809</v>
      </c>
      <c r="G84" s="281" t="s">
        <v>147</v>
      </c>
      <c r="H84" s="281"/>
      <c r="I84" s="281"/>
      <c r="J84" s="281"/>
      <c r="K84" s="281"/>
      <c r="L84" s="281"/>
      <c r="M84" s="281"/>
      <c r="N84" s="281"/>
    </row>
    <row r="85" spans="2:14" ht="56.25" customHeight="1" x14ac:dyDescent="0.25">
      <c r="B85" s="134">
        <f ca="1">B84/B48</f>
        <v>0.26064696833445178</v>
      </c>
      <c r="C85" s="135">
        <f ca="1">C84/C48</f>
        <v>0.21443155412833814</v>
      </c>
      <c r="D85" s="135">
        <f ca="1">D84/D48</f>
        <v>0.16498746272098844</v>
      </c>
      <c r="E85" s="136">
        <f ca="1">E84/E48</f>
        <v>0.10044265308394225</v>
      </c>
      <c r="G85" s="281" t="s">
        <v>148</v>
      </c>
      <c r="H85" s="281"/>
      <c r="I85" s="281"/>
      <c r="J85" s="281"/>
      <c r="K85" s="281"/>
      <c r="L85" s="281"/>
      <c r="M85" s="281"/>
      <c r="N85" s="28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20" zoomScale="70" zoomScaleNormal="70" workbookViewId="0">
      <selection activeCell="C29" sqref="C29"/>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8" t="s">
        <v>504</v>
      </c>
      <c r="C4" s="289"/>
      <c r="D4" s="289"/>
      <c r="E4" s="289"/>
      <c r="F4" s="289"/>
      <c r="G4" s="289"/>
      <c r="H4" s="289"/>
      <c r="I4" s="289"/>
      <c r="J4" s="289"/>
      <c r="K4" s="289"/>
      <c r="L4" s="289"/>
      <c r="M4" s="289"/>
      <c r="N4" s="290"/>
    </row>
    <row r="5" spans="2:15" ht="22.5" customHeight="1" x14ac:dyDescent="0.25">
      <c r="B5" s="291"/>
      <c r="C5" s="292"/>
      <c r="D5" s="292"/>
      <c r="E5" s="292"/>
      <c r="F5" s="292"/>
      <c r="G5" s="292"/>
      <c r="H5" s="292"/>
      <c r="I5" s="292"/>
      <c r="J5" s="292"/>
      <c r="K5" s="292"/>
      <c r="L5" s="292"/>
      <c r="M5" s="292"/>
      <c r="N5" s="293"/>
    </row>
    <row r="6" spans="2:15" ht="22.5" customHeight="1" x14ac:dyDescent="0.25">
      <c r="B6" s="294"/>
      <c r="C6" s="295"/>
      <c r="D6" s="295"/>
      <c r="E6" s="295"/>
      <c r="F6" s="295"/>
      <c r="G6" s="295"/>
      <c r="H6" s="295"/>
      <c r="I6" s="295"/>
      <c r="J6" s="295"/>
      <c r="K6" s="295"/>
      <c r="L6" s="295"/>
      <c r="M6" s="295"/>
      <c r="N6" s="29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7" t="s">
        <v>151</v>
      </c>
      <c r="N11" s="298"/>
      <c r="O11" s="299"/>
    </row>
    <row r="12" spans="2:15" x14ac:dyDescent="0.25">
      <c r="B12" s="1">
        <v>100</v>
      </c>
      <c r="C12" s="2" t="s">
        <v>103</v>
      </c>
      <c r="D12" s="2"/>
      <c r="E12" s="2"/>
      <c r="F12" s="2"/>
      <c r="G12" s="2"/>
      <c r="H12" s="2"/>
      <c r="I12" s="2"/>
      <c r="J12" s="2"/>
      <c r="K12" s="3"/>
      <c r="M12" s="300"/>
      <c r="N12" s="301"/>
      <c r="O12" s="30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104.51162790697674</v>
      </c>
      <c r="C18" s="129">
        <f>'LEAP Region'!I26*1000</f>
        <v>2856.6511627906975</v>
      </c>
      <c r="D18" s="129">
        <f>'LEAP Region'!J26*1000</f>
        <v>8291.2558139534885</v>
      </c>
      <c r="E18" s="130">
        <f>'LEAP Region'!K26*1000</f>
        <v>16059.953488372095</v>
      </c>
      <c r="G18" s="281" t="s">
        <v>474</v>
      </c>
      <c r="H18" s="281"/>
      <c r="I18" s="281"/>
      <c r="J18" s="281"/>
      <c r="K18" s="281"/>
      <c r="L18" s="281"/>
      <c r="M18" s="281"/>
      <c r="N18" s="28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81" t="s">
        <v>190</v>
      </c>
      <c r="H19" s="281"/>
      <c r="I19" s="281"/>
      <c r="J19" s="281"/>
      <c r="K19" s="281"/>
      <c r="L19" s="281"/>
      <c r="M19" s="281"/>
      <c r="N19" s="281"/>
      <c r="V19" t="s">
        <v>547</v>
      </c>
    </row>
    <row r="20" spans="2:22" ht="54.75" customHeight="1" x14ac:dyDescent="0.25">
      <c r="B20" s="128">
        <f>IF($F$22="adj",'1.Current Trans'!$O$13*B18/B19,B18/B19)</f>
        <v>7.351345456528259</v>
      </c>
      <c r="C20" s="129">
        <f>IF($F$22="adj",'1.Current Trans'!$O$13*C18/C19,C18/C19)</f>
        <v>219.20375543102443</v>
      </c>
      <c r="D20" s="129">
        <f>IF($F$22="adj",'1.Current Trans'!$O$13*D18/D19,D18/D19)</f>
        <v>699.84808746149031</v>
      </c>
      <c r="E20" s="130">
        <f>IF($F$22="adj",'1.Current Trans'!$O$13*E18/E19,E18/E19)</f>
        <v>1506.2090024264569</v>
      </c>
      <c r="G20" s="303" t="s">
        <v>106</v>
      </c>
      <c r="H20" s="303"/>
      <c r="I20" s="303"/>
      <c r="J20" s="303"/>
      <c r="K20" s="303"/>
      <c r="L20" s="303"/>
      <c r="M20" s="303"/>
      <c r="N20" s="303"/>
    </row>
    <row r="21" spans="2:22" ht="54.75" customHeight="1" x14ac:dyDescent="0.25">
      <c r="B21" s="131">
        <f>'1.Current Trans'!B9+'1.Current Trans'!B32</f>
        <v>1842</v>
      </c>
      <c r="C21" s="132">
        <f t="shared" ref="C21:E21" si="0">B21*1.125</f>
        <v>2072.25</v>
      </c>
      <c r="D21" s="132">
        <f t="shared" si="0"/>
        <v>2331.28125</v>
      </c>
      <c r="E21" s="133">
        <f t="shared" si="0"/>
        <v>2622.69140625</v>
      </c>
      <c r="G21" s="303" t="s">
        <v>189</v>
      </c>
      <c r="H21" s="303"/>
      <c r="I21" s="303"/>
      <c r="J21" s="303"/>
      <c r="K21" s="303"/>
      <c r="L21" s="303"/>
      <c r="M21" s="303"/>
      <c r="N21" s="303"/>
      <c r="O21" s="186">
        <f>(E21/B21)^(1/(E17-B17))-1</f>
        <v>1.014682216717655E-2</v>
      </c>
    </row>
    <row r="22" spans="2:22" ht="54.75" customHeight="1" x14ac:dyDescent="0.25">
      <c r="B22" s="134">
        <f>B20/B21</f>
        <v>3.990958445455081E-3</v>
      </c>
      <c r="C22" s="135">
        <f>C20/C21</f>
        <v>0.10578055516034476</v>
      </c>
      <c r="D22" s="135">
        <f>D20/D21</f>
        <v>0.30019890884529282</v>
      </c>
      <c r="E22" s="136">
        <f>E20/E21</f>
        <v>0.57429898112949473</v>
      </c>
      <c r="F22" s="54" t="s">
        <v>545</v>
      </c>
      <c r="G22" s="303" t="s">
        <v>191</v>
      </c>
      <c r="H22" s="303"/>
      <c r="I22" s="303"/>
      <c r="J22" s="303"/>
      <c r="K22" s="303"/>
      <c r="L22" s="303"/>
      <c r="M22" s="303"/>
      <c r="N22" s="303"/>
    </row>
    <row r="23" spans="2:22" ht="54.75" customHeight="1" x14ac:dyDescent="0.25">
      <c r="B23" s="166">
        <f>('LEAP Region'!H24+'LEAP Region'!H25+'LEAP Region'!H27+'LEAP Region'!H28)*1000</f>
        <v>119108.41860465116</v>
      </c>
      <c r="C23" s="167">
        <f>('LEAP Region'!I24+'LEAP Region'!I25+'LEAP Region'!I27+'LEAP Region'!I28)*1000</f>
        <v>85455.674418604642</v>
      </c>
      <c r="D23" s="167">
        <f>('LEAP Region'!J24+'LEAP Region'!J25+'LEAP Region'!J27+'LEAP Region'!J28)*1000</f>
        <v>48806.930232558138</v>
      </c>
      <c r="E23" s="168">
        <f>('LEAP Region'!K24+'LEAP Region'!K25+'LEAP Region'!K27+'LEAP Region'!K28)*1000</f>
        <v>6793.2558139534885</v>
      </c>
      <c r="G23" s="281" t="s">
        <v>470</v>
      </c>
      <c r="H23" s="281"/>
      <c r="I23" s="281"/>
      <c r="J23" s="281"/>
      <c r="K23" s="281"/>
      <c r="L23" s="281"/>
      <c r="M23" s="281"/>
      <c r="N23" s="281"/>
    </row>
    <row r="24" spans="2:22" ht="54.75" customHeight="1" x14ac:dyDescent="0.25">
      <c r="B24" s="158">
        <f>res_share_state_target*('LEAP Statewide'!H25+'LEAP Statewide'!H28)*1000000/'2.Trans Targets'!B23</f>
        <v>0.12047528891144012</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0.52808334972847915</v>
      </c>
      <c r="G24" s="281" t="s">
        <v>192</v>
      </c>
      <c r="H24" s="281"/>
      <c r="I24" s="281"/>
      <c r="J24" s="281"/>
      <c r="K24" s="281"/>
      <c r="L24" s="281"/>
      <c r="M24" s="281"/>
      <c r="N24" s="28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81" t="s">
        <v>193</v>
      </c>
      <c r="H25" s="281"/>
      <c r="I25" s="281"/>
      <c r="J25" s="281"/>
      <c r="K25" s="281"/>
      <c r="L25" s="281"/>
      <c r="M25" s="281"/>
      <c r="N25" s="281"/>
    </row>
    <row r="26" spans="2:22" ht="54.75" customHeight="1" x14ac:dyDescent="0.25">
      <c r="B26" s="128">
        <f>IF($F$22="adj",'1.Current Trans'!$O$13*B23/B25,B23/B25)</f>
        <v>1776.997150518956</v>
      </c>
      <c r="C26" s="129">
        <f>IF($F$22="adj",'1.Current Trans'!$O$13*C23/C25,C23/C25)</f>
        <v>1490.9470226309602</v>
      </c>
      <c r="D26" s="129">
        <f>IF($F$22="adj",'1.Current Trans'!$O$13*D23/D25,D23/D25)</f>
        <v>1025.2517152404191</v>
      </c>
      <c r="E26" s="130">
        <f>IF($F$22="adj",'1.Current Trans'!$O$13*E23/E25,E23/E25)</f>
        <v>179.27335901937732</v>
      </c>
      <c r="G26" s="303" t="s">
        <v>107</v>
      </c>
      <c r="H26" s="303"/>
      <c r="I26" s="303"/>
      <c r="J26" s="303"/>
      <c r="K26" s="303"/>
      <c r="L26" s="303"/>
      <c r="M26" s="303"/>
      <c r="N26" s="303"/>
    </row>
    <row r="27" spans="2:22" ht="54.75" customHeight="1" x14ac:dyDescent="0.25">
      <c r="B27" s="134">
        <f>B26/B21</f>
        <v>0.9647107223229946</v>
      </c>
      <c r="C27" s="135">
        <f>C26/C21</f>
        <v>0.71948221625332864</v>
      </c>
      <c r="D27" s="135">
        <f>D26/D21</f>
        <v>0.43978036336903542</v>
      </c>
      <c r="E27" s="136">
        <f>E26/E21</f>
        <v>6.8354728502240211E-2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418046.51162790693</v>
      </c>
      <c r="C5" s="172">
        <f>'LEAP Region'!C49*1000000</f>
        <v>1950883.7209302324</v>
      </c>
      <c r="D5" s="172">
        <f>'LEAP Region'!D49*1000000</f>
        <v>3065674.4186046515</v>
      </c>
      <c r="E5" s="173">
        <f>'LEAP Region'!E49*1000000</f>
        <v>4494000</v>
      </c>
      <c r="G5" s="281" t="s">
        <v>186</v>
      </c>
      <c r="H5" s="281"/>
      <c r="I5" s="281"/>
      <c r="J5" s="281"/>
      <c r="K5" s="281"/>
      <c r="L5" s="281"/>
      <c r="M5" s="281"/>
      <c r="N5" s="281"/>
    </row>
    <row r="6" spans="2:14" s="126" customFormat="1" ht="45" customHeight="1" x14ac:dyDescent="0.2">
      <c r="B6" s="304">
        <v>400</v>
      </c>
      <c r="C6" s="305"/>
      <c r="D6" s="305"/>
      <c r="E6" s="306"/>
      <c r="G6" s="281" t="s">
        <v>475</v>
      </c>
      <c r="H6" s="281"/>
      <c r="I6" s="281"/>
      <c r="J6" s="281"/>
      <c r="K6" s="281"/>
      <c r="L6" s="281"/>
      <c r="M6" s="281"/>
      <c r="N6" s="281"/>
    </row>
    <row r="7" spans="2:14" s="126" customFormat="1" ht="45" customHeight="1" x14ac:dyDescent="0.2">
      <c r="B7" s="171">
        <f>B5/13/$B$6</f>
        <v>80.393559928443636</v>
      </c>
      <c r="C7" s="172">
        <f>C5/13/$B$6</f>
        <v>375.16994633273703</v>
      </c>
      <c r="D7" s="172">
        <f>D5/13/$B$6</f>
        <v>589.55277280858684</v>
      </c>
      <c r="E7" s="172">
        <f>E5/13/$B$6</f>
        <v>864.23076923076917</v>
      </c>
      <c r="G7" s="281" t="s">
        <v>185</v>
      </c>
      <c r="H7" s="281"/>
      <c r="I7" s="281"/>
      <c r="J7" s="281"/>
      <c r="K7" s="281"/>
      <c r="L7" s="281"/>
      <c r="M7" s="281"/>
      <c r="N7" s="281"/>
    </row>
    <row r="8" spans="2:14" s="126" customFormat="1" ht="45" customHeight="1" x14ac:dyDescent="0.2">
      <c r="B8" s="36">
        <f>'2.Heat Targets'!B31*1.5</f>
        <v>1336.5</v>
      </c>
      <c r="C8" s="36">
        <f>'2.Heat Targets'!C31*1.5</f>
        <v>1416.69</v>
      </c>
      <c r="D8" s="36">
        <f>'2.Heat Targets'!D31*1.5</f>
        <v>1501.6914000000002</v>
      </c>
      <c r="E8" s="36">
        <f>'2.Heat Targets'!E31*1.5</f>
        <v>1591.7928840000004</v>
      </c>
      <c r="G8" s="281" t="s">
        <v>187</v>
      </c>
      <c r="H8" s="281"/>
      <c r="I8" s="281"/>
      <c r="J8" s="281"/>
      <c r="K8" s="281"/>
      <c r="L8" s="281"/>
      <c r="M8" s="281"/>
      <c r="N8" s="281"/>
    </row>
    <row r="9" spans="2:14" s="126" customFormat="1" ht="45" customHeight="1" x14ac:dyDescent="0.2">
      <c r="B9" s="174">
        <f>B7/B8</f>
        <v>6.0152308214323706E-2</v>
      </c>
      <c r="C9" s="175">
        <f>C7/C8</f>
        <v>0.26482148270456979</v>
      </c>
      <c r="D9" s="175">
        <f>D7/D8</f>
        <v>0.39259249457550782</v>
      </c>
      <c r="E9" s="176">
        <f>E7/E8</f>
        <v>0.54292915737822145</v>
      </c>
      <c r="G9" s="281" t="s">
        <v>188</v>
      </c>
      <c r="H9" s="281"/>
      <c r="I9" s="281"/>
      <c r="J9" s="281"/>
      <c r="K9" s="281"/>
      <c r="L9" s="281"/>
      <c r="M9" s="281"/>
      <c r="N9" s="28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zoomScale="70" zoomScaleNormal="70" workbookViewId="0">
      <selection activeCell="R75" sqref="R75"/>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c r="N16" s="222"/>
      <c r="O16" s="222"/>
      <c r="P16" s="222"/>
      <c r="Q16" s="223"/>
      <c r="R16" s="221"/>
    </row>
    <row r="17" spans="1:17" x14ac:dyDescent="0.25">
      <c r="B17" s="21"/>
      <c r="C17" s="21"/>
      <c r="D17" s="21"/>
      <c r="E17" s="21"/>
      <c r="H17" s="21"/>
      <c r="I17" s="21"/>
      <c r="J17" s="21"/>
      <c r="K17" s="30"/>
      <c r="L17" s="22"/>
      <c r="M17" s="222"/>
      <c r="N17" s="222"/>
      <c r="O17" s="222"/>
      <c r="P17" s="222"/>
      <c r="Q17" s="223"/>
    </row>
    <row r="18" spans="1:17" x14ac:dyDescent="0.25">
      <c r="B18" s="21"/>
      <c r="L18" s="22"/>
      <c r="M18" s="223"/>
      <c r="N18" s="223"/>
      <c r="O18" s="223"/>
      <c r="P18" s="223"/>
      <c r="Q18" s="223"/>
    </row>
    <row r="19" spans="1:17" x14ac:dyDescent="0.25">
      <c r="B19" s="21"/>
      <c r="C19" s="21"/>
      <c r="D19" s="21"/>
      <c r="E19" s="21"/>
      <c r="H19" s="21"/>
      <c r="I19" s="21"/>
      <c r="J19" s="21"/>
      <c r="K19" s="21"/>
      <c r="L19" s="22"/>
      <c r="M19" s="223"/>
      <c r="N19" s="224"/>
      <c r="O19" s="224"/>
      <c r="P19" s="224"/>
      <c r="Q19" s="224"/>
    </row>
    <row r="20" spans="1:17" x14ac:dyDescent="0.25">
      <c r="B20" s="21"/>
      <c r="C20" s="21"/>
      <c r="D20" s="21"/>
      <c r="E20" s="21"/>
      <c r="H20" s="23"/>
      <c r="I20" s="23"/>
      <c r="J20" s="23"/>
      <c r="K20" s="23"/>
      <c r="L20" s="22"/>
      <c r="M20" s="222"/>
      <c r="N20" s="224"/>
      <c r="O20" s="224"/>
      <c r="P20" s="224"/>
      <c r="Q20" s="224"/>
    </row>
    <row r="21" spans="1:17" x14ac:dyDescent="0.25">
      <c r="L21" s="22"/>
      <c r="M21" s="222"/>
      <c r="N21" s="224"/>
      <c r="O21" s="224"/>
      <c r="P21" s="224"/>
      <c r="Q21" s="224"/>
    </row>
    <row r="22" spans="1:17" ht="33.75" customHeight="1" x14ac:dyDescent="0.25">
      <c r="A22" s="231" t="s">
        <v>472</v>
      </c>
      <c r="B22" s="232"/>
      <c r="C22" s="232"/>
      <c r="D22" s="232"/>
      <c r="E22" s="233"/>
      <c r="G22" s="231" t="s">
        <v>473</v>
      </c>
      <c r="H22" s="232"/>
      <c r="I22" s="232"/>
      <c r="J22" s="232"/>
      <c r="K22" s="233"/>
      <c r="L22" s="22"/>
      <c r="M22" s="222"/>
      <c r="N22" s="224"/>
      <c r="O22" s="224"/>
      <c r="P22" s="224"/>
      <c r="Q22" s="224"/>
    </row>
    <row r="23" spans="1:17" x14ac:dyDescent="0.25">
      <c r="A23" s="14" t="s">
        <v>0</v>
      </c>
      <c r="B23" s="15">
        <v>2015</v>
      </c>
      <c r="C23" s="15">
        <v>2025</v>
      </c>
      <c r="D23" s="15">
        <v>2035</v>
      </c>
      <c r="E23" s="16">
        <v>2050</v>
      </c>
      <c r="G23" s="14" t="s">
        <v>0</v>
      </c>
      <c r="H23" s="15">
        <v>2015</v>
      </c>
      <c r="I23" s="15">
        <v>2025</v>
      </c>
      <c r="J23" s="15">
        <v>2035</v>
      </c>
      <c r="K23" s="16">
        <v>2050</v>
      </c>
      <c r="M23" s="222"/>
      <c r="N23" s="224"/>
      <c r="O23" s="224"/>
      <c r="P23" s="224"/>
      <c r="Q23" s="224"/>
    </row>
    <row r="24" spans="1:17" x14ac:dyDescent="0.25">
      <c r="A24" s="1" t="s">
        <v>21</v>
      </c>
      <c r="B24" s="4">
        <v>2912</v>
      </c>
      <c r="C24" s="4">
        <v>2370</v>
      </c>
      <c r="D24" s="4">
        <v>2020</v>
      </c>
      <c r="E24" s="5">
        <v>1696</v>
      </c>
      <c r="G24" s="1" t="s">
        <v>21</v>
      </c>
      <c r="H24" s="4">
        <v>2923</v>
      </c>
      <c r="I24" s="4">
        <v>2094</v>
      </c>
      <c r="J24" s="4">
        <v>1166</v>
      </c>
      <c r="K24" s="5">
        <v>91</v>
      </c>
      <c r="M24" s="222"/>
      <c r="N24" s="224"/>
      <c r="O24" s="224"/>
      <c r="P24" s="224"/>
      <c r="Q24" s="224"/>
    </row>
    <row r="25" spans="1:17" x14ac:dyDescent="0.25">
      <c r="A25" s="1" t="s">
        <v>22</v>
      </c>
      <c r="B25" s="4">
        <v>395</v>
      </c>
      <c r="C25" s="4">
        <v>319</v>
      </c>
      <c r="D25" s="4">
        <v>270</v>
      </c>
      <c r="E25" s="5">
        <v>224</v>
      </c>
      <c r="G25" s="1" t="s">
        <v>22</v>
      </c>
      <c r="H25" s="4">
        <v>390</v>
      </c>
      <c r="I25" s="4">
        <v>260</v>
      </c>
      <c r="J25" s="4">
        <v>141</v>
      </c>
      <c r="K25" s="5">
        <v>16</v>
      </c>
      <c r="M25" s="222"/>
      <c r="N25" s="224"/>
      <c r="O25" s="224"/>
      <c r="P25" s="224"/>
      <c r="Q25" s="224"/>
    </row>
    <row r="26" spans="1:17" x14ac:dyDescent="0.25">
      <c r="A26" s="1" t="s">
        <v>23</v>
      </c>
      <c r="B26" s="4">
        <v>3</v>
      </c>
      <c r="C26" s="4">
        <v>9</v>
      </c>
      <c r="D26" s="4">
        <v>14</v>
      </c>
      <c r="E26" s="5">
        <v>21</v>
      </c>
      <c r="G26" s="1" t="s">
        <v>23</v>
      </c>
      <c r="H26" s="4">
        <v>3</v>
      </c>
      <c r="I26" s="4">
        <v>82</v>
      </c>
      <c r="J26" s="4">
        <v>238</v>
      </c>
      <c r="K26" s="5">
        <v>461</v>
      </c>
      <c r="M26" s="222"/>
      <c r="N26" s="224"/>
      <c r="O26" s="224"/>
      <c r="P26" s="224"/>
      <c r="Q26" s="224"/>
    </row>
    <row r="27" spans="1:17" x14ac:dyDescent="0.25">
      <c r="A27" s="1" t="s">
        <v>20</v>
      </c>
      <c r="B27" s="4">
        <v>106</v>
      </c>
      <c r="C27" s="4">
        <v>100</v>
      </c>
      <c r="D27" s="4">
        <v>98</v>
      </c>
      <c r="E27" s="5">
        <v>97</v>
      </c>
      <c r="G27" s="1" t="s">
        <v>20</v>
      </c>
      <c r="H27" s="4">
        <v>98</v>
      </c>
      <c r="I27" s="4">
        <v>61</v>
      </c>
      <c r="J27" s="4">
        <v>33</v>
      </c>
      <c r="K27" s="5">
        <v>1</v>
      </c>
      <c r="M27" s="222"/>
      <c r="N27" s="224"/>
      <c r="O27" s="224"/>
      <c r="P27" s="224"/>
      <c r="Q27" s="224"/>
    </row>
    <row r="28" spans="1:17" x14ac:dyDescent="0.25">
      <c r="A28" s="1" t="s">
        <v>18</v>
      </c>
      <c r="B28" s="4">
        <v>1</v>
      </c>
      <c r="C28" s="4">
        <v>1</v>
      </c>
      <c r="D28" s="4">
        <v>1</v>
      </c>
      <c r="E28" s="5">
        <v>0</v>
      </c>
      <c r="G28" s="1" t="s">
        <v>18</v>
      </c>
      <c r="H28" s="4">
        <v>8</v>
      </c>
      <c r="I28" s="4">
        <v>38</v>
      </c>
      <c r="J28" s="4">
        <v>61</v>
      </c>
      <c r="K28" s="5">
        <v>87</v>
      </c>
      <c r="M28" s="222"/>
      <c r="N28" s="224"/>
      <c r="O28" s="224"/>
      <c r="P28" s="224"/>
      <c r="Q28" s="224"/>
    </row>
    <row r="29" spans="1:17" x14ac:dyDescent="0.25">
      <c r="A29" s="6" t="s">
        <v>24</v>
      </c>
      <c r="B29" s="18">
        <v>0</v>
      </c>
      <c r="C29" s="18">
        <v>0</v>
      </c>
      <c r="D29" s="18">
        <v>0</v>
      </c>
      <c r="E29" s="19">
        <v>0</v>
      </c>
      <c r="G29" s="1" t="s">
        <v>24</v>
      </c>
      <c r="H29" s="4">
        <v>0</v>
      </c>
      <c r="I29" s="4">
        <v>0</v>
      </c>
      <c r="J29" s="4">
        <v>0</v>
      </c>
      <c r="K29" s="5">
        <v>0</v>
      </c>
      <c r="M29" s="222"/>
      <c r="N29" s="225"/>
      <c r="O29" s="225"/>
      <c r="P29" s="225"/>
      <c r="Q29" s="225"/>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c r="O48" s="223"/>
      <c r="P48" s="223"/>
      <c r="Q48" s="226"/>
    </row>
    <row r="49" spans="1:17" ht="89.25" customHeight="1" x14ac:dyDescent="0.25">
      <c r="A49" s="234"/>
      <c r="B49" s="214">
        <v>12</v>
      </c>
      <c r="C49" s="213">
        <v>56</v>
      </c>
      <c r="D49" s="213">
        <v>88</v>
      </c>
      <c r="E49" s="213">
        <v>129</v>
      </c>
      <c r="M49" s="223"/>
      <c r="N49" s="223"/>
      <c r="O49" s="223"/>
      <c r="P49" s="223"/>
      <c r="Q49" s="223"/>
    </row>
    <row r="50" spans="1:17" x14ac:dyDescent="0.25">
      <c r="M50" s="223"/>
      <c r="N50" s="223"/>
      <c r="O50" s="223"/>
      <c r="P50" s="223"/>
      <c r="Q50" s="223"/>
    </row>
    <row r="51" spans="1:17" x14ac:dyDescent="0.25">
      <c r="M51" s="223"/>
      <c r="N51" s="223"/>
      <c r="O51" s="223"/>
      <c r="P51" s="223"/>
      <c r="Q51" s="223"/>
    </row>
    <row r="52" spans="1:17" x14ac:dyDescent="0.25">
      <c r="M52" s="223"/>
      <c r="N52" s="223"/>
      <c r="O52" s="223"/>
      <c r="P52" s="223"/>
      <c r="Q52" s="223"/>
    </row>
    <row r="53" spans="1:17" x14ac:dyDescent="0.25">
      <c r="M53" s="223"/>
      <c r="N53" s="223"/>
      <c r="O53" s="223"/>
      <c r="P53" s="223"/>
      <c r="Q53" s="223"/>
    </row>
    <row r="54" spans="1:17" x14ac:dyDescent="0.25">
      <c r="M54" s="223"/>
      <c r="N54" s="223"/>
      <c r="O54" s="223"/>
      <c r="P54" s="223"/>
      <c r="Q54" s="223"/>
    </row>
    <row r="55" spans="1:17" x14ac:dyDescent="0.25">
      <c r="M55" s="223"/>
      <c r="N55" s="223"/>
      <c r="O55" s="223"/>
      <c r="P55" s="223"/>
      <c r="Q55" s="223"/>
    </row>
    <row r="56" spans="1:17" x14ac:dyDescent="0.25">
      <c r="M56" s="223"/>
      <c r="N56" s="223"/>
      <c r="O56" s="223"/>
      <c r="P56" s="223"/>
      <c r="Q56" s="223"/>
    </row>
    <row r="57" spans="1:17" x14ac:dyDescent="0.25">
      <c r="M57" s="223"/>
      <c r="N57" s="223"/>
      <c r="O57" s="223"/>
      <c r="P57" s="223"/>
      <c r="Q57" s="223"/>
    </row>
    <row r="58" spans="1:17" x14ac:dyDescent="0.25">
      <c r="M58" s="223"/>
      <c r="N58" s="223"/>
      <c r="O58" s="223"/>
      <c r="P58" s="223"/>
      <c r="Q58" s="223"/>
    </row>
    <row r="60" spans="1:17" ht="15.75" thickBot="1" x14ac:dyDescent="0.3"/>
    <row r="61" spans="1:17" ht="15.75" thickBot="1" x14ac:dyDescent="0.3">
      <c r="Q61" s="229"/>
    </row>
    <row r="62" spans="1:17" x14ac:dyDescent="0.25">
      <c r="M62" s="227"/>
      <c r="N62" s="228"/>
      <c r="O62" s="228"/>
      <c r="P62" s="228"/>
      <c r="Q62" s="228"/>
    </row>
    <row r="63" spans="1:17" x14ac:dyDescent="0.25">
      <c r="M63" s="223"/>
      <c r="N63" s="223"/>
      <c r="O63" s="223"/>
      <c r="P63" s="223"/>
      <c r="Q63" s="223"/>
    </row>
    <row r="64" spans="1:17" x14ac:dyDescent="0.25">
      <c r="M64" s="223"/>
      <c r="N64" s="223"/>
      <c r="O64" s="223"/>
      <c r="P64" s="223"/>
      <c r="Q64" s="223"/>
    </row>
    <row r="65" spans="13:17" x14ac:dyDescent="0.25">
      <c r="M65" s="223"/>
      <c r="N65" s="223"/>
      <c r="O65" s="223"/>
      <c r="P65" s="223"/>
      <c r="Q65" s="223"/>
    </row>
    <row r="66" spans="13:17" x14ac:dyDescent="0.25">
      <c r="M66" s="223"/>
      <c r="N66" s="223"/>
      <c r="O66" s="223"/>
      <c r="P66" s="223"/>
      <c r="Q66" s="223"/>
    </row>
    <row r="67" spans="13:17" x14ac:dyDescent="0.25">
      <c r="M67" s="223"/>
      <c r="N67" s="223"/>
      <c r="O67" s="223"/>
      <c r="P67" s="223"/>
      <c r="Q67" s="223"/>
    </row>
    <row r="68" spans="13:17" x14ac:dyDescent="0.25">
      <c r="M68" s="223"/>
      <c r="N68" s="223"/>
      <c r="O68" s="223"/>
      <c r="P68" s="223"/>
      <c r="Q68" s="223"/>
    </row>
    <row r="69" spans="13:17" x14ac:dyDescent="0.25">
      <c r="M69" s="230"/>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2017-05-02T16:29:16Z</dcterms:modified>
</cp:coreProperties>
</file>